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3060" windowWidth="28800" windowHeight="17540" activeTab="0"/>
  </bookViews>
  <sheets>
    <sheet name="Feuil1" sheetId="1" r:id="rId1"/>
    <sheet name="Feuil2" sheetId="2" r:id="rId2"/>
    <sheet name="Feuil3" sheetId="3" r:id="rId3"/>
  </sheets>
  <definedNames>
    <definedName name="_xlfn.PERCENTRANK.EXC" hidden="1">#NAME?</definedName>
  </definedNames>
  <calcPr fullCalcOnLoad="1"/>
</workbook>
</file>

<file path=xl/sharedStrings.xml><?xml version="1.0" encoding="utf-8"?>
<sst xmlns="http://schemas.openxmlformats.org/spreadsheetml/2006/main" count="368" uniqueCount="247">
  <si>
    <t>TOTAL</t>
  </si>
  <si>
    <t>% Formats</t>
  </si>
  <si>
    <t>Services et cotisations</t>
  </si>
  <si>
    <t>Stock</t>
  </si>
  <si>
    <t>Total</t>
  </si>
  <si>
    <t>FLUX</t>
  </si>
  <si>
    <t>STOCK</t>
  </si>
  <si>
    <t>Investissements (50%)</t>
  </si>
  <si>
    <t>CHARGES</t>
  </si>
  <si>
    <t>PRODUITS</t>
  </si>
  <si>
    <t>Frais généraux (loyer, missions, représentations)</t>
  </si>
  <si>
    <t>Prestations externes (Expert Comptable, Commissaire, Informatique, Communication et Marketing)</t>
  </si>
  <si>
    <t>RÉSULTATS</t>
  </si>
  <si>
    <t>Passage au marché national est de 50%</t>
  </si>
  <si>
    <t>Ressort du Modèle</t>
  </si>
  <si>
    <t>Taux investissement + 10%</t>
  </si>
  <si>
    <t>Totalité investissements en export.</t>
  </si>
  <si>
    <t>Montant moyen pour un format de flux</t>
  </si>
  <si>
    <t xml:space="preserve">       10S/5F</t>
  </si>
  <si>
    <t>15 Formats existants= 15 Auteurs formés + 15 Documentalistes</t>
  </si>
  <si>
    <t>Nbre de formés = nb d'employés</t>
  </si>
  <si>
    <t>Flux</t>
  </si>
  <si>
    <t>Montant moyen pour un format de stock</t>
  </si>
  <si>
    <t>Nb Flux x prix moyen = Nb stock x prix moyen</t>
  </si>
  <si>
    <t>LES FORMATS PRODUITS</t>
  </si>
  <si>
    <t>LES FORMATS EXPORTÉS</t>
  </si>
  <si>
    <t>TOTAL INVESTISSEMENTS (Développement + Production + Export)</t>
  </si>
  <si>
    <t>Nombre de formats à l'export (50% des formats produits)</t>
  </si>
  <si>
    <t>LES FORMATS CRÉÉS</t>
  </si>
  <si>
    <t>Nombre de Stock</t>
  </si>
  <si>
    <t>Nombre de Flux</t>
  </si>
  <si>
    <t>Entre le Développement et la Production, seuls 50% des formats développés passent en production.
Taux de conversion au marché à 50%.</t>
  </si>
  <si>
    <t>Investissements: (25%) Stock et Flux</t>
  </si>
  <si>
    <t>25% du cout de production d'un format</t>
  </si>
  <si>
    <t>Frais marketing, Veille, Démarchage</t>
  </si>
  <si>
    <t>Montant Moyen de l'exportation d'une saison de format (flux et stock)</t>
  </si>
  <si>
    <t>Revenus Export (5%)</t>
  </si>
  <si>
    <t>Revenus Développement (5%)</t>
  </si>
  <si>
    <t>ECRITURE</t>
  </si>
  <si>
    <t>DEVELOPPEMENT</t>
  </si>
  <si>
    <t>PRODUCTION</t>
  </si>
  <si>
    <t>DISTRIBUTION</t>
  </si>
  <si>
    <t>1 Assistant Réalisateur</t>
  </si>
  <si>
    <t>1 Directeur Photo</t>
  </si>
  <si>
    <t>1 Assistant Directeur Photo</t>
  </si>
  <si>
    <t>1 Ingénieur du Son</t>
  </si>
  <si>
    <t>1 Assistant Ingénieur du Son</t>
  </si>
  <si>
    <t>1 Chef Décorateur</t>
  </si>
  <si>
    <t>1 Assistant Chef Décorateur</t>
  </si>
  <si>
    <t>1 Chef Monteur</t>
  </si>
  <si>
    <t>1 Assistant Chef Monteur</t>
  </si>
  <si>
    <t>1 Réalisateur</t>
  </si>
  <si>
    <t>Invests</t>
  </si>
  <si>
    <t>Existantes (la moitié des start-ups)</t>
  </si>
  <si>
    <t>Nombre de Start-ups existantes financées</t>
  </si>
  <si>
    <t>Nouvelles (l'autre moitié des start-ups)</t>
  </si>
  <si>
    <t>Nombre de start-ups nouvelles financées</t>
  </si>
  <si>
    <t>Nombre de PME ETI financées</t>
  </si>
  <si>
    <t>Nombre de Licornes financées</t>
  </si>
  <si>
    <t>% Entreprises (1,5%)</t>
  </si>
  <si>
    <t>Developpement (50% des investissements)</t>
  </si>
  <si>
    <t>Coefficients avec les totaux (2021 à 2027)</t>
  </si>
  <si>
    <t>INVESTISSEMENTS TOTAUX</t>
  </si>
  <si>
    <t>Financements (50%)</t>
  </si>
  <si>
    <t>Montant Moyen d'investissement dans une 1ère saison de Formats de Stock</t>
  </si>
  <si>
    <t>Montant Moyen d'investissement dans une 1ère saison de Formats de Flux</t>
  </si>
  <si>
    <t>CRÉATIONS / DÉVELOPPEMENTS</t>
  </si>
  <si>
    <t>Prod (115% des investissements)</t>
  </si>
  <si>
    <t>Export (200% des investissements)</t>
  </si>
  <si>
    <t>Formation Auteur de Stock</t>
  </si>
  <si>
    <t>À +1 AN</t>
  </si>
  <si>
    <t>2022 (pour 2021)</t>
  </si>
  <si>
    <t>2023 (pour 2022)</t>
  </si>
  <si>
    <t>2024 (pour 2023)</t>
  </si>
  <si>
    <t>2025 (pour 2024)</t>
  </si>
  <si>
    <t>2026 (pour 2025)</t>
  </si>
  <si>
    <t>2027 (pour 2026)</t>
  </si>
  <si>
    <t>EXPORT</t>
  </si>
  <si>
    <t>ANNÉE 3</t>
  </si>
  <si>
    <t>ANNÉE 1</t>
  </si>
  <si>
    <t>ANNÉE 2</t>
  </si>
  <si>
    <t>INVESTISSEMENTS GENERAUX TOTAUX</t>
  </si>
  <si>
    <t>Contenus</t>
  </si>
  <si>
    <t>Entreprises</t>
  </si>
  <si>
    <t>Total Nombre Entreprises</t>
  </si>
  <si>
    <t>Coefficient Entreprises</t>
  </si>
  <si>
    <t>Salaire annuel moyen d'1 salarié chargé</t>
  </si>
  <si>
    <t>Prestations internes (Veille, Master, Formation, Experts, Juridique et Audit)</t>
  </si>
  <si>
    <t>Personnel (4 salariés chargés) - Hors Président
Salaire moyen = 40 000€ brut / an
Salaire mensuel brut: 3600€</t>
  </si>
  <si>
    <t>Pour les Entreprises, le financement est pris en compte jusqu'à la 5e année incluse</t>
  </si>
  <si>
    <t>Coefficient Développement (en 7 ans)</t>
  </si>
  <si>
    <t>Coefficient Export (en 5 ans)</t>
  </si>
  <si>
    <t>Coefficient Production (en 6 ans)</t>
  </si>
  <si>
    <t>Coefficients avec les totaux (en 5 ans)</t>
  </si>
  <si>
    <t>Total nombre formats produits en 6 ans: 90</t>
  </si>
  <si>
    <t>Total nombre de formats en 7 ans: 226</t>
  </si>
  <si>
    <t>Nombre de formats exportés en 5 ans: 34</t>
  </si>
  <si>
    <t>Total Nombre Entreprises Accompagnées (en 5 ans): 105</t>
  </si>
  <si>
    <t>Nombre de projets Stock</t>
  </si>
  <si>
    <t>Formations Auteur de Flux</t>
  </si>
  <si>
    <t>CREATIONS D'EMPLOIS</t>
  </si>
  <si>
    <t>Nombre de projets Flux</t>
  </si>
  <si>
    <t>CREATIONS D'EMPLOIS FORMATS</t>
  </si>
  <si>
    <t>Auteur</t>
  </si>
  <si>
    <t>Documentaliste</t>
  </si>
  <si>
    <t>Total du nombre de formations</t>
  </si>
  <si>
    <t>Nombre total de projets développés</t>
  </si>
  <si>
    <t>Nombre total de projets écrits</t>
  </si>
  <si>
    <t>FORMATIONS DEVELOPPEMENT DE FORMATS</t>
  </si>
  <si>
    <t>Formations Développeur de Flux Junior</t>
  </si>
  <si>
    <t>Formation Développeur de Stock Junior</t>
  </si>
  <si>
    <t>Créations emploi Développeur Junior tout format</t>
  </si>
  <si>
    <t>Le Développeur Senior aura déjà été formé, avec les formations depuis 2018 (CQP Développeur de Formats)</t>
  </si>
  <si>
    <t>Créations emploi Développeur Senior tout format</t>
  </si>
  <si>
    <t>1 poste de développeur senior créé implique 1 poste de développeur Junior</t>
  </si>
  <si>
    <t>Total des emplois créés pour le Developpement</t>
  </si>
  <si>
    <t>Les auteurs déjà formés en 2021 pourront être remobilisés l'année suivante, donc pas besoin d'en reformer 15 nouveaux).</t>
  </si>
  <si>
    <t>Créations Contrats d'intermittence Auteur tout format (1 Auteur + 1 documentaliste par format)</t>
  </si>
  <si>
    <t>Formation auteur de stock: pas besoin car formation déjà existante.</t>
  </si>
  <si>
    <t>Documentaliste: le métier et la formation existent déjà</t>
  </si>
  <si>
    <t>Production - Cadre + Assistants (10 professionnels par format produit)</t>
  </si>
  <si>
    <t>Nombre de formats produits (stock et flux)</t>
  </si>
  <si>
    <t>1 Ingénieur du son</t>
  </si>
  <si>
    <t>FORMATIONS TRANSVERSES AUX CADRES DE PRODUCTION</t>
  </si>
  <si>
    <t>Total de cadres de production formés</t>
  </si>
  <si>
    <t>Total d'emplois créés dans la Production</t>
  </si>
  <si>
    <t>Nombre de formats exportés</t>
  </si>
  <si>
    <t>FORMATIONS A LA DISTRIBUTION</t>
  </si>
  <si>
    <t>1 Distributeur Junior</t>
  </si>
  <si>
    <t>CREATIONS EMPLOIS DISTRIBUTION</t>
  </si>
  <si>
    <t>1 Distributeur Senior</t>
  </si>
  <si>
    <t>CCP Distribuer des programmes audiovisuels: 1ère formation en 2021: 5 stagiaires
2022: 5 stagiaires
Les distributeurs seniors seront les distributeurs juniors formés l'année précédente + la réserve des distributeurs formés dans le cadre du CCP</t>
  </si>
  <si>
    <t>Réserve CCP</t>
  </si>
  <si>
    <t>Juniors devenus seniors</t>
  </si>
  <si>
    <t>FINANCEMENT FORMAT (DÉVELOPPEMENT - PRODUCTION - EXPORT)</t>
  </si>
  <si>
    <t>EN 5 ANS</t>
  </si>
  <si>
    <t>EN 7 ANS</t>
  </si>
  <si>
    <t>CNC</t>
  </si>
  <si>
    <t>SAJE</t>
  </si>
  <si>
    <t>IFCIC</t>
  </si>
  <si>
    <t>SOFICA</t>
  </si>
  <si>
    <t>La Fabrique des Formats</t>
  </si>
  <si>
    <t>CII</t>
  </si>
  <si>
    <t>BPI</t>
  </si>
  <si>
    <t>Crownfunding</t>
  </si>
  <si>
    <t>Crowdfunding</t>
  </si>
  <si>
    <t>Fonds étrangers</t>
  </si>
  <si>
    <t>FINANCEMENT ENTREPRISES (Start-ups, PME et Licornes)</t>
  </si>
  <si>
    <t>START-UPS</t>
  </si>
  <si>
    <t>PME, ETI</t>
  </si>
  <si>
    <t>LICORNES</t>
  </si>
  <si>
    <t>Investissements 25% Flux</t>
  </si>
  <si>
    <t>La Fabrique des Formats (10%)</t>
  </si>
  <si>
    <t>SAJE (10%)</t>
  </si>
  <si>
    <t>Crownfunding (10%)</t>
  </si>
  <si>
    <t>IFCIC (35%)</t>
  </si>
  <si>
    <t>CII (15%)</t>
  </si>
  <si>
    <t>La Fabrique des Formats (15%)</t>
  </si>
  <si>
    <t>Fonds étrangers (15%)</t>
  </si>
  <si>
    <t>IFCIC (25%)</t>
  </si>
  <si>
    <t>CNC (10%)</t>
  </si>
  <si>
    <t>SOFICA (15%)</t>
  </si>
  <si>
    <t>Crowdfunding (10%)</t>
  </si>
  <si>
    <t>Fonds étrangers / Distributeurs (20%)</t>
  </si>
  <si>
    <t>EN 4 ANS</t>
  </si>
  <si>
    <t>EN 6 ANS</t>
  </si>
  <si>
    <t>EN 3 ANS</t>
  </si>
  <si>
    <t>SOFICA (10%)</t>
  </si>
  <si>
    <t>Par an</t>
  </si>
  <si>
    <t>Par An</t>
  </si>
  <si>
    <t>CONTENUS</t>
  </si>
  <si>
    <t>ENTREPRISES</t>
  </si>
  <si>
    <t>RÉPARTITION DU BESOIN PAR ACTEUR (EN 5 ANS)</t>
  </si>
  <si>
    <t>Total Général</t>
  </si>
  <si>
    <t>Total nombre Start-ups investies</t>
  </si>
  <si>
    <t>Investissements 25% Stock</t>
  </si>
  <si>
    <t>EN 5 ANS (2021-2025)</t>
  </si>
  <si>
    <t>EN 7 ANS (2021-2027)</t>
  </si>
  <si>
    <t>Développement intégré dans l'entreprise: donc emplois permanents, sur la période.</t>
  </si>
  <si>
    <t>Ici, ce sont des contrats d'intermittence, donc cumulés sur 7 ans.</t>
  </si>
  <si>
    <t>Distributeur internalisé permanent, donc emplois permanents (à l'inverse de l'intermittence).</t>
  </si>
  <si>
    <t>Formations Existantes pour les juniors techniques (ex: FEMIS)</t>
  </si>
  <si>
    <t>Fonds étrangers (10%)</t>
  </si>
  <si>
    <t>Fonds étrangers (20%)</t>
  </si>
  <si>
    <t>IFCIC (30%)</t>
  </si>
  <si>
    <t>FORMATIONS ECRITURE DE FORMATS (AUTEUR)</t>
  </si>
  <si>
    <t>Coût de la formation (3600€ TTC)</t>
  </si>
  <si>
    <t>Coût de la formation (840€ TTC)</t>
  </si>
  <si>
    <t>Coût des formations (3600€ TTC)</t>
  </si>
  <si>
    <t>FORMATION INITIALE - FABLAB UNIVERSITAIRES</t>
  </si>
  <si>
    <t>FORMATION CONTINUE</t>
  </si>
  <si>
    <t>Taux de conversion à la profession (15%)</t>
  </si>
  <si>
    <t>Les tarifs étant différenciés en écoles privées et en universités (publiques), la moyenne globale du côut de la formation au FABLAB est de 6 000€.</t>
  </si>
  <si>
    <t>En moyenne, le total des effectifs étudiants sur 5 FABLABS, toutes école/universités comprises s'établit à 125.</t>
  </si>
  <si>
    <t>TOTAL GENERAL DES COÛTS DE FORMATION</t>
  </si>
  <si>
    <t>TOTAL GENERAL DU NOMBRE DE FORMÉS</t>
  </si>
  <si>
    <t>TOTAL GÉNÉRAL DU NOMBRE D'EMPLOIS CRÉÉS</t>
  </si>
  <si>
    <t>Dont Permanents</t>
  </si>
  <si>
    <t>Dont Intermittents</t>
  </si>
  <si>
    <t>Sur 5 ans</t>
  </si>
  <si>
    <t>Sur 7 ans</t>
  </si>
  <si>
    <t>Part CNC à enlever</t>
  </si>
  <si>
    <t>La part du CNC est annuelle sur 7 ans.</t>
  </si>
  <si>
    <t>REMBOURSEMENTS DES INVESTISSEMENTS DANS LES ENTREPRISES</t>
  </si>
  <si>
    <t>Soit 77% des investissements remboursés, sur la période concernée.</t>
  </si>
  <si>
    <t>Start-ups (50%)</t>
  </si>
  <si>
    <t>50% des starts-ups pourront rembourser.</t>
  </si>
  <si>
    <t>PME et ETI (115%)</t>
  </si>
  <si>
    <t>Licornes (150%)</t>
  </si>
  <si>
    <t>Soit environ 104% des investissements remboursés.</t>
  </si>
  <si>
    <t>Ceci est un lissage de la montée en charge des formations</t>
  </si>
  <si>
    <t>Investissement dans les Start up (50%)
1 start-up = 125 000€ (1/2 Dev Flux + 1/2 Dev Stock)</t>
  </si>
  <si>
    <t>Investissements dans les PME ETI (35% des 1 600 000 € de production, soit 560 000€)</t>
  </si>
  <si>
    <t>Investissements dans les LICORNES (33% de 3 000 000€, soit 1 000 000€)</t>
  </si>
  <si>
    <t>Revenus Productions (5%)</t>
  </si>
  <si>
    <t>Chiffre d'Affaires (3600€ TTC)</t>
  </si>
  <si>
    <t>Nombre de FABLABs</t>
  </si>
  <si>
    <t>4 fablabs + 1 fablab/an jusqu'en 2024 (soit 7 fablabs en 2024), dont 2 en province.</t>
  </si>
  <si>
    <t>Nombre d'étudiants</t>
  </si>
  <si>
    <t>Chiffres d'affaire 
d'un Fablab</t>
  </si>
  <si>
    <t>Chiffres d'affaire total</t>
  </si>
  <si>
    <t>2 - ACCOMPAGNEMENT DES ENTREPRISES</t>
  </si>
  <si>
    <t>1- FINANCEMENTS DANS LES CONTENUS</t>
  </si>
  <si>
    <t>3 - EMPLOIS ET FORMATIONS</t>
  </si>
  <si>
    <t>4 - RÉPARTITION DU BESOIN DE FINANCEMENTS</t>
  </si>
  <si>
    <t>4bis - REMBOURSEMENTS DES INVESTISSEMENTS DANS LES CONTENUS</t>
  </si>
  <si>
    <t>Somme Totale pour l'IFCIC et la BPI</t>
  </si>
  <si>
    <t>IFCIC (28%)</t>
  </si>
  <si>
    <t>BPI (62%)</t>
  </si>
  <si>
    <t>BPI (60%)</t>
  </si>
  <si>
    <t>IFCIC (23%)</t>
  </si>
  <si>
    <t>BPI (57%)</t>
  </si>
  <si>
    <t>IFCIC (75%)</t>
  </si>
  <si>
    <t>BPI (0%)</t>
  </si>
  <si>
    <t>IFCIC (50%)</t>
  </si>
  <si>
    <t>IFCIC (70%)</t>
  </si>
  <si>
    <t>10% car sur la production nationale, le taux de marge est faible</t>
  </si>
  <si>
    <t>5 - BUSINESS PLAN DU PÔLE D'EXCELLENCE</t>
  </si>
  <si>
    <t>EQUILIBRE DU PÔLE D'EXCELLENCE</t>
  </si>
  <si>
    <t>LA FILIÈRE DES FORMATS DE STOCK ET DE FLUX ET SON PÔLE D'EXCELLENCE</t>
  </si>
  <si>
    <t>Revenu Pôle d'Excellence (1,5%)</t>
  </si>
  <si>
    <t>Revenu Pôle d'Excellence (15%)</t>
  </si>
  <si>
    <t>Revenu du Pôle d'Excellence sur les Formations Continues (15%)</t>
  </si>
  <si>
    <t>REVENUS PÔLE D'EXCELLENCE CONTENUS (Developpement + Production + Export)</t>
  </si>
  <si>
    <t>Conclusion: le pôle d'excellence atteint son "petit" équilibre en troisième année en même temps que le nombre de projets de formats français double; le nombre de formats français mis en production et exportés double en quatrième année.</t>
  </si>
  <si>
    <t>Conclusion: le pôle d'excellence atteint presque l'équilibre à l'année 3 sans compter l'endettement éventuel sur les années passées et sa part sur les investissements sur les entreprises au titre de son expertise croisée</t>
  </si>
  <si>
    <t>Jusqu'en 2024, le Pôle d'Excellence finance les experts de la Veille et Formation, dans la mesure où il teste les besoins et met au point les réponses
À partir de 2024, basculement auprès d'organismes extérieurs: le pôle d'excellence prendra 15% sur les prestations externalisées (formation, veille, Masterclass) auprès des organismes que le Pôle d'Excellence aura labellisés.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</si>
</sst>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[$-40C]dddd\ d\ mmmm\ yyyy"/>
    <numFmt numFmtId="174" formatCode="#,##0.00\ &quot;€&quot;"/>
    <numFmt numFmtId="175" formatCode="#,##0\ _€"/>
    <numFmt numFmtId="176" formatCode="#,##0.0\ &quot;€&quot;"/>
    <numFmt numFmtId="177" formatCode="#,##0.0\ _€"/>
    <numFmt numFmtId="178" formatCode="0.E+00"/>
    <numFmt numFmtId="179" formatCode="#,##0.0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b/>
      <sz val="11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2" tint="-0.4999699890613556"/>
      <name val="Calibri"/>
      <family val="2"/>
    </font>
    <font>
      <b/>
      <sz val="12"/>
      <color theme="2" tint="-0.4999699890613556"/>
      <name val="Calibri"/>
      <family val="2"/>
    </font>
    <font>
      <b/>
      <i/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72" fontId="2" fillId="0" borderId="0" xfId="0" applyNumberFormat="1" applyFont="1" applyAlignment="1">
      <alignment vertical="center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9" fontId="61" fillId="33" borderId="13" xfId="0" applyNumberFormat="1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9" fontId="61" fillId="33" borderId="14" xfId="0" applyNumberFormat="1" applyFont="1" applyFill="1" applyBorder="1" applyAlignment="1">
      <alignment horizontal="center" vertical="center" wrapText="1"/>
    </xf>
    <xf numFmtId="3" fontId="62" fillId="33" borderId="15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8" borderId="11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14" xfId="0" applyFont="1" applyFill="1" applyBorder="1" applyAlignment="1">
      <alignment/>
    </xf>
    <xf numFmtId="0" fontId="8" fillId="0" borderId="11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center" vertical="center"/>
    </xf>
    <xf numFmtId="172" fontId="7" fillId="8" borderId="10" xfId="0" applyNumberFormat="1" applyFont="1" applyFill="1" applyBorder="1" applyAlignment="1">
      <alignment horizontal="center" vertical="center"/>
    </xf>
    <xf numFmtId="172" fontId="11" fillId="8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8" borderId="11" xfId="0" applyFont="1" applyFill="1" applyBorder="1" applyAlignment="1">
      <alignment vertical="center" wrapText="1"/>
    </xf>
    <xf numFmtId="3" fontId="7" fillId="8" borderId="10" xfId="0" applyNumberFormat="1" applyFont="1" applyFill="1" applyBorder="1" applyAlignment="1">
      <alignment horizontal="center" vertical="center"/>
    </xf>
    <xf numFmtId="3" fontId="11" fillId="8" borderId="14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58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8" fillId="0" borderId="0" xfId="0" applyNumberFormat="1" applyFont="1" applyAlignment="1">
      <alignment horizontal="right" vertical="center"/>
    </xf>
    <xf numFmtId="0" fontId="7" fillId="8" borderId="11" xfId="0" applyFont="1" applyFill="1" applyBorder="1" applyAlignment="1">
      <alignment vertical="center"/>
    </xf>
    <xf numFmtId="172" fontId="63" fillId="8" borderId="14" xfId="0" applyNumberFormat="1" applyFont="1" applyFill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vertical="center"/>
    </xf>
    <xf numFmtId="0" fontId="7" fillId="8" borderId="21" xfId="0" applyFont="1" applyFill="1" applyBorder="1" applyAlignment="1">
      <alignment vertical="center" wrapText="1"/>
    </xf>
    <xf numFmtId="172" fontId="7" fillId="8" borderId="22" xfId="0" applyNumberFormat="1" applyFont="1" applyFill="1" applyBorder="1" applyAlignment="1">
      <alignment horizontal="center" vertical="center"/>
    </xf>
    <xf numFmtId="172" fontId="11" fillId="8" borderId="23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172" fontId="8" fillId="0" borderId="25" xfId="0" applyNumberFormat="1" applyFont="1" applyBorder="1" applyAlignment="1">
      <alignment horizontal="center" vertical="center" wrapText="1"/>
    </xf>
    <xf numFmtId="172" fontId="8" fillId="8" borderId="0" xfId="0" applyNumberFormat="1" applyFont="1" applyFill="1" applyBorder="1" applyAlignment="1">
      <alignment horizontal="center" vertical="center" wrapText="1"/>
    </xf>
    <xf numFmtId="172" fontId="8" fillId="8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 wrapText="1"/>
    </xf>
    <xf numFmtId="1" fontId="8" fillId="8" borderId="10" xfId="0" applyNumberFormat="1" applyFont="1" applyFill="1" applyBorder="1" applyAlignment="1">
      <alignment vertical="center"/>
    </xf>
    <xf numFmtId="1" fontId="8" fillId="8" borderId="14" xfId="0" applyNumberFormat="1" applyFont="1" applyFill="1" applyBorder="1" applyAlignment="1">
      <alignment vertical="center"/>
    </xf>
    <xf numFmtId="1" fontId="10" fillId="33" borderId="20" xfId="0" applyNumberFormat="1" applyFont="1" applyFill="1" applyBorder="1" applyAlignment="1">
      <alignment vertical="center"/>
    </xf>
    <xf numFmtId="172" fontId="8" fillId="0" borderId="14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72" fontId="10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horizontal="left" vertical="center"/>
    </xf>
    <xf numFmtId="0" fontId="10" fillId="8" borderId="28" xfId="0" applyFont="1" applyFill="1" applyBorder="1" applyAlignment="1">
      <alignment horizontal="center" vertical="center" wrapText="1"/>
    </xf>
    <xf numFmtId="172" fontId="10" fillId="8" borderId="29" xfId="0" applyNumberFormat="1" applyFont="1" applyFill="1" applyBorder="1" applyAlignment="1">
      <alignment horizontal="right" vertical="center"/>
    </xf>
    <xf numFmtId="172" fontId="10" fillId="8" borderId="29" xfId="0" applyNumberFormat="1" applyFont="1" applyFill="1" applyBorder="1" applyAlignment="1">
      <alignment horizontal="center" vertical="center"/>
    </xf>
    <xf numFmtId="172" fontId="10" fillId="8" borderId="3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172" fontId="10" fillId="33" borderId="18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172" fontId="10" fillId="33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72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9" fontId="10" fillId="33" borderId="31" xfId="0" applyNumberFormat="1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9" fontId="10" fillId="33" borderId="32" xfId="0" applyNumberFormat="1" applyFont="1" applyFill="1" applyBorder="1" applyAlignment="1">
      <alignment horizontal="center" vertical="center" wrapText="1"/>
    </xf>
    <xf numFmtId="3" fontId="10" fillId="33" borderId="33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/>
    </xf>
    <xf numFmtId="0" fontId="10" fillId="33" borderId="34" xfId="0" applyFont="1" applyFill="1" applyBorder="1" applyAlignment="1">
      <alignment horizontal="center"/>
    </xf>
    <xf numFmtId="3" fontId="10" fillId="33" borderId="23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45" fillId="0" borderId="0" xfId="0" applyFont="1" applyAlignment="1">
      <alignment vertical="center"/>
    </xf>
    <xf numFmtId="172" fontId="10" fillId="0" borderId="0" xfId="0" applyNumberFormat="1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172" fontId="8" fillId="0" borderId="25" xfId="0" applyNumberFormat="1" applyFont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172" fontId="8" fillId="36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vertical="center"/>
    </xf>
    <xf numFmtId="172" fontId="10" fillId="36" borderId="10" xfId="0" applyNumberFormat="1" applyFont="1" applyFill="1" applyBorder="1" applyAlignment="1">
      <alignment horizontal="right" vertical="center"/>
    </xf>
    <xf numFmtId="172" fontId="8" fillId="36" borderId="12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59" fillId="37" borderId="10" xfId="0" applyNumberFormat="1" applyFont="1" applyFill="1" applyBorder="1" applyAlignment="1">
      <alignment horizontal="center" vertical="center"/>
    </xf>
    <xf numFmtId="172" fontId="66" fillId="0" borderId="10" xfId="0" applyNumberFormat="1" applyFont="1" applyBorder="1" applyAlignment="1">
      <alignment horizontal="center" vertical="center"/>
    </xf>
    <xf numFmtId="172" fontId="67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172" fontId="67" fillId="0" borderId="10" xfId="0" applyNumberFormat="1" applyFont="1" applyBorder="1" applyAlignment="1">
      <alignment horizontal="center" vertical="center"/>
    </xf>
    <xf numFmtId="172" fontId="44" fillId="37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3" fontId="67" fillId="0" borderId="14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44" fillId="37" borderId="10" xfId="0" applyNumberFormat="1" applyFont="1" applyFill="1" applyBorder="1" applyAlignment="1">
      <alignment horizontal="center" vertical="center"/>
    </xf>
    <xf numFmtId="1" fontId="67" fillId="0" borderId="14" xfId="0" applyNumberFormat="1" applyFont="1" applyBorder="1" applyAlignment="1">
      <alignment horizontal="center" vertical="center"/>
    </xf>
    <xf numFmtId="1" fontId="59" fillId="37" borderId="10" xfId="0" applyNumberFormat="1" applyFont="1" applyFill="1" applyBorder="1" applyAlignment="1">
      <alignment horizontal="center" vertical="center"/>
    </xf>
    <xf numFmtId="3" fontId="59" fillId="37" borderId="10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59" fillId="37" borderId="12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3" fontId="67" fillId="0" borderId="15" xfId="0" applyNumberFormat="1" applyFont="1" applyBorder="1" applyAlignment="1">
      <alignment horizontal="center" vertical="center"/>
    </xf>
    <xf numFmtId="172" fontId="8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172" fontId="8" fillId="0" borderId="41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72" fontId="8" fillId="0" borderId="26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8" fillId="8" borderId="27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44" fillId="8" borderId="0" xfId="0" applyFont="1" applyFill="1" applyBorder="1" applyAlignment="1">
      <alignment/>
    </xf>
    <xf numFmtId="0" fontId="66" fillId="8" borderId="0" xfId="0" applyFont="1" applyFill="1" applyBorder="1" applyAlignment="1">
      <alignment/>
    </xf>
    <xf numFmtId="0" fontId="67" fillId="8" borderId="26" xfId="0" applyFont="1" applyFill="1" applyBorder="1" applyAlignment="1">
      <alignment/>
    </xf>
    <xf numFmtId="0" fontId="59" fillId="8" borderId="0" xfId="0" applyFont="1" applyFill="1" applyBorder="1" applyAlignment="1">
      <alignment/>
    </xf>
    <xf numFmtId="172" fontId="66" fillId="8" borderId="0" xfId="0" applyNumberFormat="1" applyFont="1" applyFill="1" applyBorder="1" applyAlignment="1">
      <alignment/>
    </xf>
    <xf numFmtId="172" fontId="67" fillId="8" borderId="26" xfId="0" applyNumberFormat="1" applyFont="1" applyFill="1" applyBorder="1" applyAlignment="1">
      <alignment/>
    </xf>
    <xf numFmtId="3" fontId="8" fillId="8" borderId="27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center" vertical="center"/>
    </xf>
    <xf numFmtId="0" fontId="67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172" fontId="59" fillId="8" borderId="29" xfId="0" applyNumberFormat="1" applyFont="1" applyFill="1" applyBorder="1" applyAlignment="1">
      <alignment horizontal="center" vertical="center"/>
    </xf>
    <xf numFmtId="172" fontId="66" fillId="8" borderId="29" xfId="0" applyNumberFormat="1" applyFont="1" applyFill="1" applyBorder="1" applyAlignment="1">
      <alignment horizontal="center" vertical="center"/>
    </xf>
    <xf numFmtId="172" fontId="67" fillId="8" borderId="3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59" fillId="38" borderId="12" xfId="0" applyNumberFormat="1" applyFont="1" applyFill="1" applyBorder="1" applyAlignment="1">
      <alignment horizontal="center" vertical="center"/>
    </xf>
    <xf numFmtId="3" fontId="59" fillId="38" borderId="17" xfId="0" applyNumberFormat="1" applyFont="1" applyFill="1" applyBorder="1" applyAlignment="1">
      <alignment horizontal="center" vertical="center" wrapText="1"/>
    </xf>
    <xf numFmtId="3" fontId="59" fillId="38" borderId="15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8" borderId="11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8" borderId="27" xfId="0" applyFont="1" applyFill="1" applyBorder="1" applyAlignment="1">
      <alignment vertical="center"/>
    </xf>
    <xf numFmtId="0" fontId="8" fillId="8" borderId="26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center" vertical="center" wrapText="1"/>
    </xf>
    <xf numFmtId="172" fontId="59" fillId="38" borderId="12" xfId="0" applyNumberFormat="1" applyFont="1" applyFill="1" applyBorder="1" applyAlignment="1">
      <alignment horizontal="center" vertical="center"/>
    </xf>
    <xf numFmtId="172" fontId="59" fillId="38" borderId="15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vertical="center"/>
    </xf>
    <xf numFmtId="0" fontId="64" fillId="38" borderId="0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8" borderId="14" xfId="0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 wrapText="1"/>
    </xf>
    <xf numFmtId="1" fontId="8" fillId="8" borderId="10" xfId="0" applyNumberFormat="1" applyFont="1" applyFill="1" applyBorder="1" applyAlignment="1">
      <alignment horizontal="center" vertical="center"/>
    </xf>
    <xf numFmtId="1" fontId="8" fillId="8" borderId="14" xfId="0" applyNumberFormat="1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vertical="center"/>
    </xf>
    <xf numFmtId="0" fontId="68" fillId="38" borderId="1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172" fontId="10" fillId="0" borderId="30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0" fontId="8" fillId="0" borderId="0" xfId="0" applyNumberFormat="1" applyFont="1" applyAlignment="1">
      <alignment/>
    </xf>
    <xf numFmtId="3" fontId="43" fillId="0" borderId="0" xfId="0" applyNumberFormat="1" applyFont="1" applyAlignment="1">
      <alignment vertical="center"/>
    </xf>
    <xf numFmtId="172" fontId="13" fillId="0" borderId="14" xfId="0" applyNumberFormat="1" applyFont="1" applyBorder="1" applyAlignment="1">
      <alignment horizontal="center" vertical="center"/>
    </xf>
    <xf numFmtId="0" fontId="8" fillId="8" borderId="11" xfId="0" applyFont="1" applyFill="1" applyBorder="1" applyAlignment="1">
      <alignment/>
    </xf>
    <xf numFmtId="0" fontId="10" fillId="38" borderId="42" xfId="0" applyFont="1" applyFill="1" applyBorder="1" applyAlignment="1">
      <alignment horizontal="center"/>
    </xf>
    <xf numFmtId="0" fontId="8" fillId="38" borderId="43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10" fillId="38" borderId="16" xfId="0" applyFont="1" applyFill="1" applyBorder="1" applyAlignment="1">
      <alignment horizontal="center" vertical="center" wrapText="1"/>
    </xf>
    <xf numFmtId="0" fontId="59" fillId="38" borderId="25" xfId="0" applyFont="1" applyFill="1" applyBorder="1" applyAlignment="1">
      <alignment horizontal="center" vertical="center"/>
    </xf>
    <xf numFmtId="0" fontId="59" fillId="38" borderId="37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vertical="center"/>
    </xf>
    <xf numFmtId="0" fontId="59" fillId="38" borderId="16" xfId="0" applyFont="1" applyFill="1" applyBorder="1" applyAlignment="1">
      <alignment vertical="center"/>
    </xf>
    <xf numFmtId="0" fontId="10" fillId="8" borderId="28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172" fontId="59" fillId="38" borderId="13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0" fontId="59" fillId="38" borderId="44" xfId="0" applyFont="1" applyFill="1" applyBorder="1" applyAlignment="1">
      <alignment vertical="center"/>
    </xf>
    <xf numFmtId="172" fontId="59" fillId="38" borderId="45" xfId="0" applyNumberFormat="1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/>
    </xf>
    <xf numFmtId="0" fontId="59" fillId="38" borderId="24" xfId="0" applyFont="1" applyFill="1" applyBorder="1" applyAlignment="1">
      <alignment horizontal="center" vertical="center"/>
    </xf>
    <xf numFmtId="172" fontId="65" fillId="0" borderId="0" xfId="0" applyNumberFormat="1" applyFont="1" applyFill="1" applyBorder="1" applyAlignment="1">
      <alignment horizontal="center" vertical="center"/>
    </xf>
    <xf numFmtId="172" fontId="44" fillId="38" borderId="46" xfId="0" applyNumberFormat="1" applyFont="1" applyFill="1" applyBorder="1" applyAlignment="1">
      <alignment horizontal="center" vertical="center"/>
    </xf>
    <xf numFmtId="172" fontId="44" fillId="38" borderId="47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0" fontId="8" fillId="8" borderId="49" xfId="0" applyFont="1" applyFill="1" applyBorder="1" applyAlignment="1">
      <alignment vertical="center"/>
    </xf>
    <xf numFmtId="0" fontId="8" fillId="8" borderId="50" xfId="0" applyFont="1" applyFill="1" applyBorder="1" applyAlignment="1">
      <alignment vertical="center"/>
    </xf>
    <xf numFmtId="0" fontId="8" fillId="8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2" fontId="10" fillId="8" borderId="10" xfId="0" applyNumberFormat="1" applyFont="1" applyFill="1" applyBorder="1" applyAlignment="1">
      <alignment horizontal="center" vertical="center"/>
    </xf>
    <xf numFmtId="172" fontId="10" fillId="8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172" fontId="59" fillId="0" borderId="0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vertical="center" wrapText="1"/>
    </xf>
    <xf numFmtId="172" fontId="13" fillId="0" borderId="10" xfId="0" applyNumberFormat="1" applyFont="1" applyBorder="1" applyAlignment="1">
      <alignment horizontal="center" vertical="center"/>
    </xf>
    <xf numFmtId="0" fontId="59" fillId="38" borderId="44" xfId="0" applyFont="1" applyFill="1" applyBorder="1" applyAlignment="1">
      <alignment horizontal="center" vertical="center" wrapText="1"/>
    </xf>
    <xf numFmtId="0" fontId="59" fillId="38" borderId="43" xfId="0" applyFont="1" applyFill="1" applyBorder="1" applyAlignment="1">
      <alignment horizontal="center" vertical="center"/>
    </xf>
    <xf numFmtId="0" fontId="59" fillId="38" borderId="53" xfId="0" applyFont="1" applyFill="1" applyBorder="1" applyAlignment="1">
      <alignment horizontal="center" vertical="center"/>
    </xf>
    <xf numFmtId="172" fontId="8" fillId="36" borderId="11" xfId="0" applyNumberFormat="1" applyFont="1" applyFill="1" applyBorder="1" applyAlignment="1">
      <alignment horizontal="center" vertical="center"/>
    </xf>
    <xf numFmtId="172" fontId="8" fillId="36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9" fillId="38" borderId="17" xfId="0" applyFont="1" applyFill="1" applyBorder="1" applyAlignment="1">
      <alignment vertical="center"/>
    </xf>
    <xf numFmtId="172" fontId="8" fillId="0" borderId="0" xfId="0" applyNumberFormat="1" applyFont="1" applyAlignment="1">
      <alignment/>
    </xf>
    <xf numFmtId="0" fontId="69" fillId="38" borderId="16" xfId="0" applyFont="1" applyFill="1" applyBorder="1" applyAlignment="1">
      <alignment horizontal="center" vertical="center"/>
    </xf>
    <xf numFmtId="0" fontId="69" fillId="38" borderId="46" xfId="0" applyFont="1" applyFill="1" applyBorder="1" applyAlignment="1">
      <alignment horizontal="center" vertical="center"/>
    </xf>
    <xf numFmtId="0" fontId="69" fillId="38" borderId="13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/>
    </xf>
    <xf numFmtId="0" fontId="8" fillId="8" borderId="47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38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172" fontId="8" fillId="0" borderId="57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59" fillId="38" borderId="56" xfId="0" applyNumberFormat="1" applyFont="1" applyFill="1" applyBorder="1" applyAlignment="1">
      <alignment horizontal="center" vertical="center"/>
    </xf>
    <xf numFmtId="172" fontId="59" fillId="38" borderId="57" xfId="0" applyNumberFormat="1" applyFont="1" applyFill="1" applyBorder="1" applyAlignment="1">
      <alignment horizontal="center" vertical="center"/>
    </xf>
    <xf numFmtId="172" fontId="59" fillId="38" borderId="41" xfId="0" applyNumberFormat="1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0" fillId="38" borderId="54" xfId="0" applyFont="1" applyFill="1" applyBorder="1" applyAlignment="1">
      <alignment horizontal="center" vertical="center"/>
    </xf>
    <xf numFmtId="0" fontId="70" fillId="38" borderId="55" xfId="0" applyFont="1" applyFill="1" applyBorder="1" applyAlignment="1">
      <alignment horizontal="center" vertical="center"/>
    </xf>
    <xf numFmtId="0" fontId="70" fillId="38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0" fillId="38" borderId="58" xfId="0" applyFont="1" applyFill="1" applyBorder="1" applyAlignment="1">
      <alignment horizontal="center"/>
    </xf>
    <xf numFmtId="0" fontId="70" fillId="38" borderId="59" xfId="0" applyFont="1" applyFill="1" applyBorder="1" applyAlignment="1">
      <alignment horizontal="center"/>
    </xf>
    <xf numFmtId="0" fontId="70" fillId="38" borderId="60" xfId="0" applyFont="1" applyFill="1" applyBorder="1" applyAlignment="1">
      <alignment horizontal="center"/>
    </xf>
    <xf numFmtId="0" fontId="59" fillId="38" borderId="16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69" fillId="38" borderId="44" xfId="0" applyFont="1" applyFill="1" applyBorder="1" applyAlignment="1">
      <alignment horizontal="center"/>
    </xf>
    <xf numFmtId="0" fontId="69" fillId="38" borderId="47" xfId="0" applyFont="1" applyFill="1" applyBorder="1" applyAlignment="1">
      <alignment horizontal="center"/>
    </xf>
    <xf numFmtId="0" fontId="69" fillId="38" borderId="45" xfId="0" applyFont="1" applyFill="1" applyBorder="1" applyAlignment="1">
      <alignment horizontal="center"/>
    </xf>
    <xf numFmtId="0" fontId="69" fillId="38" borderId="44" xfId="0" applyFont="1" applyFill="1" applyBorder="1" applyAlignment="1">
      <alignment horizontal="center" vertical="center" wrapText="1"/>
    </xf>
    <xf numFmtId="0" fontId="69" fillId="38" borderId="47" xfId="0" applyFont="1" applyFill="1" applyBorder="1" applyAlignment="1">
      <alignment horizontal="center" vertical="center" wrapText="1"/>
    </xf>
    <xf numFmtId="0" fontId="69" fillId="38" borderId="45" xfId="0" applyFont="1" applyFill="1" applyBorder="1" applyAlignment="1">
      <alignment horizontal="center" vertical="center" wrapText="1"/>
    </xf>
    <xf numFmtId="0" fontId="70" fillId="38" borderId="61" xfId="0" applyFont="1" applyFill="1" applyBorder="1" applyAlignment="1">
      <alignment horizontal="center" vertical="center"/>
    </xf>
    <xf numFmtId="0" fontId="70" fillId="38" borderId="62" xfId="0" applyFont="1" applyFill="1" applyBorder="1" applyAlignment="1">
      <alignment horizontal="center" vertical="center"/>
    </xf>
    <xf numFmtId="0" fontId="70" fillId="38" borderId="31" xfId="0" applyFont="1" applyFill="1" applyBorder="1" applyAlignment="1">
      <alignment horizontal="center" vertical="center"/>
    </xf>
    <xf numFmtId="0" fontId="70" fillId="38" borderId="63" xfId="0" applyFont="1" applyFill="1" applyBorder="1" applyAlignment="1">
      <alignment horizontal="center" vertical="center"/>
    </xf>
    <xf numFmtId="0" fontId="69" fillId="38" borderId="16" xfId="0" applyFont="1" applyFill="1" applyBorder="1" applyAlignment="1">
      <alignment horizontal="center"/>
    </xf>
    <xf numFmtId="0" fontId="69" fillId="38" borderId="46" xfId="0" applyFont="1" applyFill="1" applyBorder="1" applyAlignment="1">
      <alignment horizontal="center"/>
    </xf>
    <xf numFmtId="0" fontId="69" fillId="38" borderId="13" xfId="0" applyFont="1" applyFill="1" applyBorder="1" applyAlignment="1">
      <alignment horizontal="center"/>
    </xf>
    <xf numFmtId="0" fontId="69" fillId="38" borderId="58" xfId="0" applyFont="1" applyFill="1" applyBorder="1" applyAlignment="1">
      <alignment horizontal="center" vertical="center"/>
    </xf>
    <xf numFmtId="0" fontId="69" fillId="38" borderId="59" xfId="0" applyFont="1" applyFill="1" applyBorder="1" applyAlignment="1">
      <alignment horizontal="center" vertical="center"/>
    </xf>
    <xf numFmtId="0" fontId="69" fillId="38" borderId="60" xfId="0" applyFont="1" applyFill="1" applyBorder="1" applyAlignment="1">
      <alignment horizontal="center" vertical="center"/>
    </xf>
    <xf numFmtId="0" fontId="69" fillId="38" borderId="58" xfId="0" applyFont="1" applyFill="1" applyBorder="1" applyAlignment="1">
      <alignment horizontal="center" vertical="center" wrapText="1"/>
    </xf>
    <xf numFmtId="0" fontId="69" fillId="38" borderId="59" xfId="0" applyFont="1" applyFill="1" applyBorder="1" applyAlignment="1">
      <alignment horizontal="center" vertical="center" wrapText="1"/>
    </xf>
    <xf numFmtId="0" fontId="69" fillId="38" borderId="60" xfId="0" applyFont="1" applyFill="1" applyBorder="1" applyAlignment="1">
      <alignment horizontal="center" vertical="center" wrapText="1"/>
    </xf>
    <xf numFmtId="0" fontId="70" fillId="14" borderId="44" xfId="0" applyFont="1" applyFill="1" applyBorder="1" applyAlignment="1">
      <alignment horizontal="center" vertical="center"/>
    </xf>
    <xf numFmtId="0" fontId="70" fillId="14" borderId="47" xfId="0" applyFont="1" applyFill="1" applyBorder="1" applyAlignment="1">
      <alignment horizontal="center" vertical="center"/>
    </xf>
    <xf numFmtId="0" fontId="70" fillId="14" borderId="4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9" fillId="38" borderId="64" xfId="0" applyFont="1" applyFill="1" applyBorder="1" applyAlignment="1">
      <alignment horizontal="center" vertical="center"/>
    </xf>
    <xf numFmtId="0" fontId="69" fillId="38" borderId="65" xfId="0" applyFont="1" applyFill="1" applyBorder="1" applyAlignment="1">
      <alignment horizontal="center" vertical="center"/>
    </xf>
    <xf numFmtId="0" fontId="69" fillId="38" borderId="34" xfId="0" applyFont="1" applyFill="1" applyBorder="1" applyAlignment="1">
      <alignment horizontal="center" vertical="center"/>
    </xf>
    <xf numFmtId="0" fontId="69" fillId="38" borderId="66" xfId="0" applyFont="1" applyFill="1" applyBorder="1" applyAlignment="1">
      <alignment horizontal="center" vertical="center"/>
    </xf>
    <xf numFmtId="0" fontId="69" fillId="38" borderId="67" xfId="0" applyFont="1" applyFill="1" applyBorder="1" applyAlignment="1">
      <alignment horizontal="center" vertical="center"/>
    </xf>
    <xf numFmtId="0" fontId="69" fillId="38" borderId="68" xfId="0" applyFont="1" applyFill="1" applyBorder="1" applyAlignment="1">
      <alignment horizontal="center" vertical="center"/>
    </xf>
    <xf numFmtId="172" fontId="8" fillId="0" borderId="69" xfId="0" applyNumberFormat="1" applyFont="1" applyBorder="1" applyAlignment="1">
      <alignment horizontal="center" vertical="center"/>
    </xf>
    <xf numFmtId="172" fontId="8" fillId="0" borderId="62" xfId="0" applyNumberFormat="1" applyFont="1" applyBorder="1" applyAlignment="1">
      <alignment horizontal="center" vertical="center"/>
    </xf>
    <xf numFmtId="172" fontId="8" fillId="0" borderId="63" xfId="0" applyNumberFormat="1" applyFont="1" applyBorder="1" applyAlignment="1">
      <alignment horizontal="center" vertical="center"/>
    </xf>
    <xf numFmtId="0" fontId="8" fillId="8" borderId="69" xfId="0" applyFont="1" applyFill="1" applyBorder="1" applyAlignment="1">
      <alignment horizontal="center" vertical="center"/>
    </xf>
    <xf numFmtId="0" fontId="8" fillId="8" borderId="62" xfId="0" applyFont="1" applyFill="1" applyBorder="1" applyAlignment="1">
      <alignment horizontal="center" vertical="center"/>
    </xf>
    <xf numFmtId="0" fontId="8" fillId="8" borderId="63" xfId="0" applyFont="1" applyFill="1" applyBorder="1" applyAlignment="1">
      <alignment horizontal="center" vertical="center"/>
    </xf>
    <xf numFmtId="0" fontId="8" fillId="8" borderId="69" xfId="0" applyFont="1" applyFill="1" applyBorder="1" applyAlignment="1">
      <alignment horizontal="center"/>
    </xf>
    <xf numFmtId="0" fontId="8" fillId="8" borderId="6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72" fontId="8" fillId="8" borderId="49" xfId="0" applyNumberFormat="1" applyFont="1" applyFill="1" applyBorder="1" applyAlignment="1">
      <alignment horizontal="center"/>
    </xf>
    <xf numFmtId="172" fontId="8" fillId="8" borderId="51" xfId="0" applyNumberFormat="1" applyFont="1" applyFill="1" applyBorder="1" applyAlignment="1">
      <alignment horizontal="center"/>
    </xf>
    <xf numFmtId="172" fontId="8" fillId="0" borderId="69" xfId="0" applyNumberFormat="1" applyFont="1" applyBorder="1" applyAlignment="1">
      <alignment horizontal="center"/>
    </xf>
    <xf numFmtId="172" fontId="8" fillId="0" borderId="63" xfId="0" applyNumberFormat="1" applyFont="1" applyBorder="1" applyAlignment="1">
      <alignment horizontal="center"/>
    </xf>
    <xf numFmtId="172" fontId="8" fillId="0" borderId="43" xfId="0" applyNumberFormat="1" applyFont="1" applyBorder="1" applyAlignment="1">
      <alignment horizontal="center" vertical="center"/>
    </xf>
    <xf numFmtId="0" fontId="59" fillId="38" borderId="16" xfId="0" applyFont="1" applyFill="1" applyBorder="1" applyAlignment="1">
      <alignment horizontal="center" vertical="center" wrapText="1"/>
    </xf>
    <xf numFmtId="0" fontId="59" fillId="38" borderId="13" xfId="0" applyFont="1" applyFill="1" applyBorder="1" applyAlignment="1">
      <alignment horizontal="center" vertical="center" wrapText="1"/>
    </xf>
    <xf numFmtId="172" fontId="8" fillId="0" borderId="43" xfId="0" applyNumberFormat="1" applyFont="1" applyBorder="1" applyAlignment="1">
      <alignment horizontal="center"/>
    </xf>
    <xf numFmtId="172" fontId="8" fillId="0" borderId="55" xfId="0" applyNumberFormat="1" applyFont="1" applyBorder="1" applyAlignment="1">
      <alignment horizontal="center"/>
    </xf>
    <xf numFmtId="172" fontId="8" fillId="0" borderId="32" xfId="0" applyNumberFormat="1" applyFont="1" applyBorder="1" applyAlignment="1">
      <alignment horizontal="center"/>
    </xf>
    <xf numFmtId="0" fontId="59" fillId="38" borderId="69" xfId="0" applyFont="1" applyFill="1" applyBorder="1" applyAlignment="1">
      <alignment horizontal="center"/>
    </xf>
    <xf numFmtId="0" fontId="59" fillId="38" borderId="63" xfId="0" applyFont="1" applyFill="1" applyBorder="1" applyAlignment="1">
      <alignment horizont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10" fillId="0" borderId="69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 horizontal="center"/>
    </xf>
    <xf numFmtId="172" fontId="10" fillId="0" borderId="63" xfId="0" applyNumberFormat="1" applyFont="1" applyFill="1" applyBorder="1" applyAlignment="1">
      <alignment horizontal="center"/>
    </xf>
    <xf numFmtId="172" fontId="8" fillId="0" borderId="62" xfId="0" applyNumberFormat="1" applyFont="1" applyBorder="1" applyAlignment="1">
      <alignment horizontal="center"/>
    </xf>
    <xf numFmtId="172" fontId="8" fillId="0" borderId="54" xfId="0" applyNumberFormat="1" applyFont="1" applyBorder="1" applyAlignment="1">
      <alignment horizontal="center"/>
    </xf>
    <xf numFmtId="172" fontId="8" fillId="0" borderId="38" xfId="0" applyNumberFormat="1" applyFont="1" applyBorder="1" applyAlignment="1">
      <alignment horizontal="center"/>
    </xf>
    <xf numFmtId="172" fontId="8" fillId="0" borderId="53" xfId="0" applyNumberFormat="1" applyFont="1" applyBorder="1" applyAlignment="1">
      <alignment horizontal="center" vertical="center"/>
    </xf>
    <xf numFmtId="172" fontId="10" fillId="0" borderId="43" xfId="0" applyNumberFormat="1" applyFont="1" applyBorder="1" applyAlignment="1">
      <alignment horizontal="center"/>
    </xf>
    <xf numFmtId="172" fontId="10" fillId="0" borderId="55" xfId="0" applyNumberFormat="1" applyFont="1" applyBorder="1" applyAlignment="1">
      <alignment horizontal="center"/>
    </xf>
    <xf numFmtId="172" fontId="10" fillId="0" borderId="38" xfId="0" applyNumberFormat="1" applyFont="1" applyBorder="1" applyAlignment="1">
      <alignment horizontal="center"/>
    </xf>
    <xf numFmtId="172" fontId="10" fillId="0" borderId="69" xfId="0" applyNumberFormat="1" applyFont="1" applyBorder="1" applyAlignment="1">
      <alignment horizontal="center" vertical="center"/>
    </xf>
    <xf numFmtId="172" fontId="10" fillId="0" borderId="62" xfId="0" applyNumberFormat="1" applyFont="1" applyBorder="1" applyAlignment="1">
      <alignment horizontal="center" vertical="center"/>
    </xf>
    <xf numFmtId="172" fontId="10" fillId="0" borderId="63" xfId="0" applyNumberFormat="1" applyFont="1" applyBorder="1" applyAlignment="1">
      <alignment horizontal="center" vertical="center"/>
    </xf>
    <xf numFmtId="172" fontId="10" fillId="0" borderId="69" xfId="0" applyNumberFormat="1" applyFont="1" applyBorder="1" applyAlignment="1">
      <alignment horizontal="center"/>
    </xf>
    <xf numFmtId="172" fontId="10" fillId="0" borderId="63" xfId="0" applyNumberFormat="1" applyFont="1" applyBorder="1" applyAlignment="1">
      <alignment horizontal="center"/>
    </xf>
    <xf numFmtId="172" fontId="8" fillId="0" borderId="53" xfId="0" applyNumberFormat="1" applyFont="1" applyBorder="1" applyAlignment="1">
      <alignment horizontal="center"/>
    </xf>
    <xf numFmtId="172" fontId="8" fillId="0" borderId="57" xfId="0" applyNumberFormat="1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0" borderId="43" xfId="0" applyNumberFormat="1" applyFont="1" applyBorder="1" applyAlignment="1">
      <alignment horizontal="center" vertical="center"/>
    </xf>
    <xf numFmtId="172" fontId="10" fillId="0" borderId="38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="99" zoomScaleNormal="99" zoomScalePageLayoutView="0" workbookViewId="0" topLeftCell="A215">
      <selection activeCell="K225" sqref="K225"/>
    </sheetView>
  </sheetViews>
  <sheetFormatPr defaultColWidth="11.421875" defaultRowHeight="12.75"/>
  <cols>
    <col min="1" max="1" width="24.140625" style="45" customWidth="1"/>
    <col min="2" max="2" width="14.28125" style="45" customWidth="1"/>
    <col min="3" max="3" width="14.8515625" style="45" customWidth="1"/>
    <col min="4" max="5" width="14.421875" style="45" customWidth="1"/>
    <col min="6" max="6" width="15.140625" style="45" customWidth="1"/>
    <col min="7" max="7" width="14.8515625" style="45" customWidth="1"/>
    <col min="8" max="9" width="15.00390625" style="45" customWidth="1"/>
    <col min="10" max="10" width="16.140625" style="45" customWidth="1"/>
    <col min="11" max="11" width="40.00390625" style="46" customWidth="1"/>
    <col min="12" max="14" width="23.7109375" style="0" customWidth="1"/>
    <col min="15" max="15" width="13.28125" style="0" customWidth="1"/>
    <col min="16" max="16" width="30.7109375" style="0" customWidth="1"/>
  </cols>
  <sheetData>
    <row r="1" spans="1:9" ht="15.75">
      <c r="A1" s="400" t="s">
        <v>239</v>
      </c>
      <c r="B1" s="400"/>
      <c r="C1" s="400"/>
      <c r="D1" s="400"/>
      <c r="E1" s="400"/>
      <c r="F1" s="400"/>
      <c r="G1" s="400"/>
      <c r="H1" s="400"/>
      <c r="I1" s="400"/>
    </row>
    <row r="2" spans="1:16" ht="15.75">
      <c r="A2" s="401"/>
      <c r="B2" s="401"/>
      <c r="C2" s="401"/>
      <c r="D2" s="401"/>
      <c r="E2" s="401"/>
      <c r="F2" s="401"/>
      <c r="G2" s="401"/>
      <c r="H2" s="401"/>
      <c r="I2" s="401"/>
      <c r="J2" s="48"/>
      <c r="K2" s="49"/>
      <c r="L2" s="1"/>
      <c r="M2" s="1"/>
      <c r="N2" s="1"/>
      <c r="O2" s="1"/>
      <c r="P2" s="1"/>
    </row>
    <row r="3" spans="1:16" ht="31.5" thickBot="1">
      <c r="A3" s="47"/>
      <c r="B3" s="47"/>
      <c r="C3" s="47"/>
      <c r="D3" s="47"/>
      <c r="E3" s="47"/>
      <c r="F3" s="47"/>
      <c r="G3" s="47"/>
      <c r="H3" s="47"/>
      <c r="I3" s="47"/>
      <c r="J3" s="48"/>
      <c r="K3" s="49"/>
      <c r="L3" s="1"/>
      <c r="M3" s="1"/>
      <c r="N3" s="1"/>
      <c r="O3" s="1"/>
      <c r="P3" s="1"/>
    </row>
    <row r="4" spans="1:16" ht="24.75" thickBot="1">
      <c r="A4" s="375" t="s">
        <v>222</v>
      </c>
      <c r="B4" s="376"/>
      <c r="C4" s="376"/>
      <c r="D4" s="376"/>
      <c r="E4" s="376"/>
      <c r="F4" s="376"/>
      <c r="G4" s="376"/>
      <c r="H4" s="376"/>
      <c r="I4" s="377"/>
      <c r="J4" s="48"/>
      <c r="K4" s="49"/>
      <c r="L4" s="1"/>
      <c r="M4" s="1"/>
      <c r="N4" s="1"/>
      <c r="O4" s="1"/>
      <c r="P4" s="1"/>
    </row>
    <row r="5" spans="1:16" ht="24">
      <c r="A5" s="375" t="s">
        <v>66</v>
      </c>
      <c r="B5" s="376"/>
      <c r="C5" s="376"/>
      <c r="D5" s="376"/>
      <c r="E5" s="376"/>
      <c r="F5" s="376"/>
      <c r="G5" s="376"/>
      <c r="H5" s="376"/>
      <c r="I5" s="377"/>
      <c r="J5" s="50"/>
      <c r="K5" s="51" t="s">
        <v>79</v>
      </c>
      <c r="L5" s="14"/>
      <c r="M5" s="14"/>
      <c r="N5" s="14"/>
      <c r="O5" s="14"/>
      <c r="P5" s="1"/>
    </row>
    <row r="6" spans="1:16" ht="15.75">
      <c r="A6" s="52"/>
      <c r="B6" s="53"/>
      <c r="C6" s="53"/>
      <c r="D6" s="53"/>
      <c r="E6" s="53"/>
      <c r="F6" s="53"/>
      <c r="G6" s="53"/>
      <c r="H6" s="53"/>
      <c r="I6" s="54"/>
      <c r="P6" s="1"/>
    </row>
    <row r="7" spans="1:16" ht="33.75">
      <c r="A7" s="55" t="s">
        <v>17</v>
      </c>
      <c r="B7" s="56">
        <v>100000</v>
      </c>
      <c r="C7" s="57"/>
      <c r="D7" s="57"/>
      <c r="E7" s="57"/>
      <c r="F7" s="57"/>
      <c r="G7" s="57"/>
      <c r="H7" s="57"/>
      <c r="I7" s="58"/>
      <c r="K7" s="437" t="s">
        <v>23</v>
      </c>
      <c r="M7" s="4"/>
      <c r="P7" s="1"/>
    </row>
    <row r="8" spans="1:16" ht="33.75">
      <c r="A8" s="55" t="s">
        <v>22</v>
      </c>
      <c r="B8" s="56">
        <v>150000</v>
      </c>
      <c r="C8" s="57"/>
      <c r="D8" s="57"/>
      <c r="E8" s="57"/>
      <c r="F8" s="57"/>
      <c r="G8" s="57"/>
      <c r="H8" s="57"/>
      <c r="I8" s="58"/>
      <c r="K8" s="437"/>
      <c r="M8" s="4"/>
      <c r="P8" s="1"/>
    </row>
    <row r="9" spans="1:16" ht="15.75">
      <c r="A9" s="60"/>
      <c r="B9" s="61"/>
      <c r="C9" s="61"/>
      <c r="D9" s="61"/>
      <c r="E9" s="61"/>
      <c r="F9" s="61"/>
      <c r="G9" s="61"/>
      <c r="H9" s="61"/>
      <c r="I9" s="62"/>
      <c r="K9" s="49"/>
      <c r="M9" s="1"/>
      <c r="P9" s="1"/>
    </row>
    <row r="10" spans="1:16" ht="25.5" customHeight="1">
      <c r="A10" s="63" t="s">
        <v>28</v>
      </c>
      <c r="B10" s="64">
        <v>2021</v>
      </c>
      <c r="C10" s="64">
        <v>2022</v>
      </c>
      <c r="D10" s="64">
        <v>2023</v>
      </c>
      <c r="E10" s="64">
        <v>2024</v>
      </c>
      <c r="F10" s="64">
        <v>2025</v>
      </c>
      <c r="G10" s="64">
        <v>2026</v>
      </c>
      <c r="H10" s="64">
        <v>2027</v>
      </c>
      <c r="I10" s="65" t="s">
        <v>0</v>
      </c>
      <c r="K10" s="49"/>
      <c r="M10" s="1"/>
      <c r="P10" s="1"/>
    </row>
    <row r="11" spans="1:17" ht="18" thickBot="1">
      <c r="A11" s="55" t="s">
        <v>30</v>
      </c>
      <c r="B11" s="66">
        <v>15</v>
      </c>
      <c r="C11" s="66">
        <v>16</v>
      </c>
      <c r="D11" s="66">
        <v>18</v>
      </c>
      <c r="E11" s="66">
        <v>19</v>
      </c>
      <c r="F11" s="66">
        <v>21</v>
      </c>
      <c r="G11" s="66">
        <v>22</v>
      </c>
      <c r="H11" s="66">
        <v>24</v>
      </c>
      <c r="I11" s="67">
        <v>135</v>
      </c>
      <c r="L11" s="13"/>
      <c r="M11" s="11"/>
      <c r="P11" s="1"/>
      <c r="Q11" s="10"/>
    </row>
    <row r="12" spans="1:16" ht="16.5">
      <c r="A12" s="55" t="s">
        <v>29</v>
      </c>
      <c r="B12" s="66">
        <v>10</v>
      </c>
      <c r="C12" s="66">
        <v>11</v>
      </c>
      <c r="D12" s="66">
        <v>12</v>
      </c>
      <c r="E12" s="66">
        <v>13</v>
      </c>
      <c r="F12" s="66">
        <v>14</v>
      </c>
      <c r="G12" s="66">
        <v>15</v>
      </c>
      <c r="H12" s="66">
        <v>16</v>
      </c>
      <c r="I12" s="67">
        <v>91</v>
      </c>
      <c r="K12" s="68" t="s">
        <v>90</v>
      </c>
      <c r="L12" s="13"/>
      <c r="M12" s="11"/>
      <c r="P12" s="1"/>
    </row>
    <row r="13" spans="1:16" ht="16.5" thickBot="1">
      <c r="A13" s="69" t="s">
        <v>4</v>
      </c>
      <c r="B13" s="70">
        <f>SUM(B11:B12)</f>
        <v>25</v>
      </c>
      <c r="C13" s="70">
        <f aca="true" t="shared" si="0" ref="C13:I13">SUM(C11:C12)</f>
        <v>27</v>
      </c>
      <c r="D13" s="70">
        <f t="shared" si="0"/>
        <v>30</v>
      </c>
      <c r="E13" s="70">
        <f t="shared" si="0"/>
        <v>32</v>
      </c>
      <c r="F13" s="70">
        <f t="shared" si="0"/>
        <v>35</v>
      </c>
      <c r="G13" s="70">
        <f t="shared" si="0"/>
        <v>37</v>
      </c>
      <c r="H13" s="70">
        <f t="shared" si="0"/>
        <v>40</v>
      </c>
      <c r="I13" s="71">
        <f t="shared" si="0"/>
        <v>226</v>
      </c>
      <c r="K13" s="72">
        <f>I13/B13</f>
        <v>9.04</v>
      </c>
      <c r="L13" s="13"/>
      <c r="M13" s="12"/>
      <c r="P13" s="1"/>
    </row>
    <row r="14" spans="1:16" ht="18" thickBot="1">
      <c r="A14" s="73"/>
      <c r="B14" s="74"/>
      <c r="C14" s="74"/>
      <c r="D14" s="74"/>
      <c r="E14" s="74"/>
      <c r="F14" s="74"/>
      <c r="G14" s="74"/>
      <c r="H14" s="74"/>
      <c r="I14" s="75"/>
      <c r="K14" s="76" t="s">
        <v>95</v>
      </c>
      <c r="L14" s="13"/>
      <c r="M14" s="12"/>
      <c r="P14" s="1"/>
    </row>
    <row r="15" spans="1:16" ht="33.75">
      <c r="A15" s="63" t="s">
        <v>62</v>
      </c>
      <c r="B15" s="64">
        <v>2021</v>
      </c>
      <c r="C15" s="64">
        <v>2022</v>
      </c>
      <c r="D15" s="64">
        <v>2023</v>
      </c>
      <c r="E15" s="64">
        <v>2024</v>
      </c>
      <c r="F15" s="64">
        <v>2025</v>
      </c>
      <c r="G15" s="64">
        <v>2026</v>
      </c>
      <c r="H15" s="64">
        <v>2027</v>
      </c>
      <c r="I15" s="65" t="s">
        <v>0</v>
      </c>
      <c r="K15" s="77"/>
      <c r="L15" s="13"/>
      <c r="M15" s="12"/>
      <c r="P15" s="1"/>
    </row>
    <row r="16" spans="1:16" ht="15.75">
      <c r="A16" s="78" t="s">
        <v>21</v>
      </c>
      <c r="B16" s="79">
        <f>B7*B11</f>
        <v>1500000</v>
      </c>
      <c r="C16" s="79">
        <f>B7*C11</f>
        <v>1600000</v>
      </c>
      <c r="D16" s="79">
        <f>D11*B7</f>
        <v>1800000</v>
      </c>
      <c r="E16" s="79">
        <f>E11*B7</f>
        <v>1900000</v>
      </c>
      <c r="F16" s="79">
        <f>F11*B7</f>
        <v>2100000</v>
      </c>
      <c r="G16" s="79">
        <f>G11*B7</f>
        <v>2200000</v>
      </c>
      <c r="H16" s="79">
        <f>H11*B7</f>
        <v>2400000</v>
      </c>
      <c r="I16" s="80">
        <f>SUM(B16:H16)</f>
        <v>13500000</v>
      </c>
      <c r="K16" s="77"/>
      <c r="L16" s="13"/>
      <c r="M16" s="12"/>
      <c r="P16" s="1"/>
    </row>
    <row r="17" spans="1:16" ht="15.75">
      <c r="A17" s="78" t="s">
        <v>3</v>
      </c>
      <c r="B17" s="79">
        <f>B8*B12</f>
        <v>1500000</v>
      </c>
      <c r="C17" s="79">
        <f>C12*B8</f>
        <v>1650000</v>
      </c>
      <c r="D17" s="79">
        <f>D12*B8</f>
        <v>1800000</v>
      </c>
      <c r="E17" s="79">
        <f>E12*B8</f>
        <v>1950000</v>
      </c>
      <c r="F17" s="79">
        <f>F12*B8</f>
        <v>2100000</v>
      </c>
      <c r="G17" s="79">
        <f>G12*B8</f>
        <v>2250000</v>
      </c>
      <c r="H17" s="79">
        <f>H12*B8</f>
        <v>2400000</v>
      </c>
      <c r="I17" s="80">
        <f>SUM(B17:H17)</f>
        <v>13650000</v>
      </c>
      <c r="K17" s="77"/>
      <c r="L17" s="13"/>
      <c r="M17" s="12"/>
      <c r="P17" s="1"/>
    </row>
    <row r="18" spans="1:16" ht="15.75">
      <c r="A18" s="69" t="s">
        <v>4</v>
      </c>
      <c r="B18" s="81">
        <f aca="true" t="shared" si="1" ref="B18:H18">SUM(B16:B17)</f>
        <v>3000000</v>
      </c>
      <c r="C18" s="81">
        <f t="shared" si="1"/>
        <v>3250000</v>
      </c>
      <c r="D18" s="81">
        <f t="shared" si="1"/>
        <v>3600000</v>
      </c>
      <c r="E18" s="81">
        <f t="shared" si="1"/>
        <v>3850000</v>
      </c>
      <c r="F18" s="81">
        <f t="shared" si="1"/>
        <v>4200000</v>
      </c>
      <c r="G18" s="81">
        <f t="shared" si="1"/>
        <v>4450000</v>
      </c>
      <c r="H18" s="81">
        <f t="shared" si="1"/>
        <v>4800000</v>
      </c>
      <c r="I18" s="82">
        <f>SUM(B18:H18)</f>
        <v>27150000</v>
      </c>
      <c r="K18" s="77"/>
      <c r="L18" s="13"/>
      <c r="M18" s="12"/>
      <c r="P18" s="1"/>
    </row>
    <row r="19" spans="1:16" ht="15.75">
      <c r="A19" s="73"/>
      <c r="B19" s="74"/>
      <c r="C19" s="74"/>
      <c r="D19" s="74"/>
      <c r="E19" s="74"/>
      <c r="F19" s="74"/>
      <c r="G19" s="74"/>
      <c r="H19" s="74"/>
      <c r="I19" s="75"/>
      <c r="K19" s="77"/>
      <c r="L19" s="13"/>
      <c r="M19" s="12"/>
      <c r="P19" s="1"/>
    </row>
    <row r="20" spans="1:16" ht="15.75">
      <c r="A20" s="78" t="s">
        <v>63</v>
      </c>
      <c r="B20" s="56">
        <f aca="true" t="shared" si="2" ref="B20:H20">50%*B18</f>
        <v>1500000</v>
      </c>
      <c r="C20" s="56">
        <f t="shared" si="2"/>
        <v>1625000</v>
      </c>
      <c r="D20" s="56">
        <f t="shared" si="2"/>
        <v>1800000</v>
      </c>
      <c r="E20" s="56">
        <f t="shared" si="2"/>
        <v>1925000</v>
      </c>
      <c r="F20" s="56">
        <f t="shared" si="2"/>
        <v>2100000</v>
      </c>
      <c r="G20" s="56">
        <f t="shared" si="2"/>
        <v>2225000</v>
      </c>
      <c r="H20" s="56">
        <f t="shared" si="2"/>
        <v>2400000</v>
      </c>
      <c r="I20" s="83">
        <f>SUM(B20:H20)</f>
        <v>13575000</v>
      </c>
      <c r="J20" s="84"/>
      <c r="K20" s="85"/>
      <c r="M20" s="6"/>
      <c r="P20" s="1"/>
    </row>
    <row r="21" spans="1:16" ht="15.75">
      <c r="A21" s="86"/>
      <c r="B21" s="57"/>
      <c r="C21" s="57"/>
      <c r="D21" s="57"/>
      <c r="E21" s="57"/>
      <c r="F21" s="57"/>
      <c r="G21" s="57"/>
      <c r="H21" s="57"/>
      <c r="I21" s="87"/>
      <c r="J21" s="84"/>
      <c r="K21" s="85"/>
      <c r="M21" s="6"/>
      <c r="P21" s="1"/>
    </row>
    <row r="22" spans="1:16" ht="33.75">
      <c r="A22" s="55" t="s">
        <v>37</v>
      </c>
      <c r="B22" s="56">
        <f>5%*B20</f>
        <v>75000</v>
      </c>
      <c r="C22" s="56">
        <f aca="true" t="shared" si="3" ref="C22:I22">5%*C20</f>
        <v>81250</v>
      </c>
      <c r="D22" s="56">
        <f t="shared" si="3"/>
        <v>90000</v>
      </c>
      <c r="E22" s="56">
        <f t="shared" si="3"/>
        <v>96250</v>
      </c>
      <c r="F22" s="56">
        <f t="shared" si="3"/>
        <v>105000</v>
      </c>
      <c r="G22" s="56">
        <f t="shared" si="3"/>
        <v>111250</v>
      </c>
      <c r="H22" s="56">
        <f t="shared" si="3"/>
        <v>120000</v>
      </c>
      <c r="I22" s="88">
        <f t="shared" si="3"/>
        <v>678750</v>
      </c>
      <c r="J22" s="84"/>
      <c r="K22" s="89"/>
      <c r="L22" s="10"/>
      <c r="M22" s="7"/>
      <c r="P22" s="1"/>
    </row>
    <row r="23" spans="1:16" ht="16.5" thickBot="1">
      <c r="A23" s="90"/>
      <c r="B23" s="91"/>
      <c r="C23" s="91"/>
      <c r="D23" s="91"/>
      <c r="E23" s="91"/>
      <c r="F23" s="91"/>
      <c r="G23" s="91"/>
      <c r="H23" s="91"/>
      <c r="I23" s="92"/>
      <c r="J23" s="84"/>
      <c r="K23" s="89"/>
      <c r="L23" s="10"/>
      <c r="M23" s="7"/>
      <c r="P23" s="1"/>
    </row>
    <row r="24" spans="1:16" ht="16.5" thickBot="1">
      <c r="A24" s="48"/>
      <c r="B24" s="93"/>
      <c r="C24" s="93"/>
      <c r="D24" s="93"/>
      <c r="E24" s="93"/>
      <c r="F24" s="93"/>
      <c r="G24" s="93"/>
      <c r="H24" s="93"/>
      <c r="I24" s="94"/>
      <c r="J24" s="84"/>
      <c r="K24" s="89"/>
      <c r="L24" s="10"/>
      <c r="M24" s="7"/>
      <c r="P24" s="1"/>
    </row>
    <row r="25" spans="1:16" ht="42" customHeight="1" thickBot="1">
      <c r="A25" s="428" t="s">
        <v>40</v>
      </c>
      <c r="B25" s="429"/>
      <c r="C25" s="429"/>
      <c r="D25" s="429"/>
      <c r="E25" s="429"/>
      <c r="F25" s="429"/>
      <c r="G25" s="429"/>
      <c r="H25" s="429"/>
      <c r="I25" s="430"/>
      <c r="J25" s="95"/>
      <c r="K25" s="51" t="s">
        <v>80</v>
      </c>
      <c r="M25" s="16"/>
      <c r="N25" s="16"/>
      <c r="O25" s="16"/>
      <c r="P25" s="1"/>
    </row>
    <row r="26" spans="1:16" ht="67.5">
      <c r="A26" s="96" t="s">
        <v>65</v>
      </c>
      <c r="B26" s="97">
        <v>1600000</v>
      </c>
      <c r="C26" s="98"/>
      <c r="D26" s="98"/>
      <c r="E26" s="98"/>
      <c r="F26" s="98"/>
      <c r="G26" s="98"/>
      <c r="H26" s="98"/>
      <c r="I26" s="99"/>
      <c r="J26" s="95"/>
      <c r="K26" s="100" t="s">
        <v>31</v>
      </c>
      <c r="L26" s="16"/>
      <c r="M26" s="16"/>
      <c r="N26" s="16"/>
      <c r="O26" s="16"/>
      <c r="P26" s="1"/>
    </row>
    <row r="27" spans="1:16" ht="67.5">
      <c r="A27" s="101" t="s">
        <v>64</v>
      </c>
      <c r="B27" s="79">
        <v>1600000</v>
      </c>
      <c r="C27" s="98"/>
      <c r="D27" s="98"/>
      <c r="E27" s="98"/>
      <c r="F27" s="98"/>
      <c r="G27" s="98"/>
      <c r="H27" s="98"/>
      <c r="I27" s="99"/>
      <c r="J27" s="95"/>
      <c r="K27" s="100"/>
      <c r="L27" s="16"/>
      <c r="M27" s="16"/>
      <c r="N27" s="16"/>
      <c r="O27" s="16"/>
      <c r="P27" s="1"/>
    </row>
    <row r="28" spans="1:16" ht="15.75" customHeight="1">
      <c r="A28" s="102"/>
      <c r="B28" s="103"/>
      <c r="C28" s="103"/>
      <c r="D28" s="103"/>
      <c r="E28" s="103"/>
      <c r="F28" s="103"/>
      <c r="G28" s="103"/>
      <c r="H28" s="103"/>
      <c r="I28" s="104"/>
      <c r="J28" s="95"/>
      <c r="K28" s="100"/>
      <c r="L28" s="16"/>
      <c r="M28" s="16"/>
      <c r="N28" s="16"/>
      <c r="O28" s="16"/>
      <c r="P28" s="1"/>
    </row>
    <row r="29" spans="1:16" ht="18.75">
      <c r="A29" s="105" t="s">
        <v>24</v>
      </c>
      <c r="B29" s="64">
        <v>2021</v>
      </c>
      <c r="C29" s="64">
        <v>2022</v>
      </c>
      <c r="D29" s="64">
        <v>2023</v>
      </c>
      <c r="E29" s="64">
        <v>2024</v>
      </c>
      <c r="F29" s="64">
        <v>2025</v>
      </c>
      <c r="G29" s="64">
        <v>2026</v>
      </c>
      <c r="H29" s="64">
        <v>2027</v>
      </c>
      <c r="I29" s="65" t="s">
        <v>0</v>
      </c>
      <c r="J29" s="95"/>
      <c r="K29" s="100"/>
      <c r="L29" s="16"/>
      <c r="M29" s="16"/>
      <c r="N29" s="16"/>
      <c r="O29" s="16"/>
      <c r="P29" s="1"/>
    </row>
    <row r="30" spans="1:16" ht="18" thickBot="1">
      <c r="A30" s="106" t="s">
        <v>5</v>
      </c>
      <c r="B30" s="178"/>
      <c r="C30" s="108">
        <v>7</v>
      </c>
      <c r="D30" s="108">
        <v>8</v>
      </c>
      <c r="E30" s="108">
        <v>9</v>
      </c>
      <c r="F30" s="108">
        <v>9</v>
      </c>
      <c r="G30" s="108">
        <v>10</v>
      </c>
      <c r="H30" s="108">
        <v>11</v>
      </c>
      <c r="I30" s="109">
        <f>SUM(C30:H30)</f>
        <v>54</v>
      </c>
      <c r="J30" s="110"/>
      <c r="K30" s="111"/>
      <c r="L30" s="13"/>
      <c r="M30" s="17"/>
      <c r="N30" s="13"/>
      <c r="O30" s="13"/>
      <c r="P30" s="1"/>
    </row>
    <row r="31" spans="1:16" ht="16.5">
      <c r="A31" s="106" t="s">
        <v>6</v>
      </c>
      <c r="B31" s="178"/>
      <c r="C31" s="108">
        <v>5</v>
      </c>
      <c r="D31" s="108">
        <v>5</v>
      </c>
      <c r="E31" s="108">
        <v>6</v>
      </c>
      <c r="F31" s="108">
        <v>6</v>
      </c>
      <c r="G31" s="108">
        <v>7</v>
      </c>
      <c r="H31" s="108">
        <v>7</v>
      </c>
      <c r="I31" s="109">
        <f>SUM(C31:H31)</f>
        <v>36</v>
      </c>
      <c r="J31" s="110"/>
      <c r="K31" s="112" t="s">
        <v>92</v>
      </c>
      <c r="L31" s="13"/>
      <c r="M31" s="17"/>
      <c r="N31" s="13"/>
      <c r="O31" s="13"/>
      <c r="P31" s="1"/>
    </row>
    <row r="32" spans="1:16" ht="18" thickBot="1">
      <c r="A32" s="105" t="s">
        <v>0</v>
      </c>
      <c r="B32" s="179"/>
      <c r="C32" s="113">
        <f aca="true" t="shared" si="4" ref="C32:I32">SUM(C30:C31)</f>
        <v>12</v>
      </c>
      <c r="D32" s="113">
        <f t="shared" si="4"/>
        <v>13</v>
      </c>
      <c r="E32" s="113">
        <f t="shared" si="4"/>
        <v>15</v>
      </c>
      <c r="F32" s="113">
        <f t="shared" si="4"/>
        <v>15</v>
      </c>
      <c r="G32" s="113">
        <f t="shared" si="4"/>
        <v>17</v>
      </c>
      <c r="H32" s="113">
        <f t="shared" si="4"/>
        <v>18</v>
      </c>
      <c r="I32" s="114">
        <f t="shared" si="4"/>
        <v>90</v>
      </c>
      <c r="J32" s="110"/>
      <c r="K32" s="115">
        <f>I32/C32</f>
        <v>7.5</v>
      </c>
      <c r="L32" s="13"/>
      <c r="M32" s="18"/>
      <c r="N32" s="13"/>
      <c r="O32" s="13"/>
      <c r="P32" s="1"/>
    </row>
    <row r="33" spans="1:16" ht="16.5" thickBot="1">
      <c r="A33" s="116"/>
      <c r="B33" s="117"/>
      <c r="C33" s="117"/>
      <c r="D33" s="117"/>
      <c r="E33" s="117"/>
      <c r="F33" s="117"/>
      <c r="G33" s="117"/>
      <c r="H33" s="117"/>
      <c r="I33" s="118"/>
      <c r="J33" s="84"/>
      <c r="K33" s="119" t="s">
        <v>94</v>
      </c>
      <c r="M33" s="3"/>
      <c r="P33" s="1"/>
    </row>
    <row r="34" spans="1:16" ht="16.5">
      <c r="A34" s="55" t="s">
        <v>151</v>
      </c>
      <c r="B34" s="180"/>
      <c r="C34" s="56">
        <f>C30*B26/4</f>
        <v>2800000</v>
      </c>
      <c r="D34" s="56">
        <f>D30*B26/4</f>
        <v>3200000</v>
      </c>
      <c r="E34" s="56">
        <f>E30*B26/4</f>
        <v>3600000</v>
      </c>
      <c r="F34" s="56">
        <f>F30*B26/4</f>
        <v>3600000</v>
      </c>
      <c r="G34" s="56">
        <f>G30*B26/4</f>
        <v>4000000</v>
      </c>
      <c r="H34" s="56">
        <f>H30*B26/4</f>
        <v>4400000</v>
      </c>
      <c r="I34" s="120">
        <f>SUM(C34:H34)</f>
        <v>21600000</v>
      </c>
      <c r="J34" s="84"/>
      <c r="K34" s="121"/>
      <c r="M34" s="3"/>
      <c r="P34" s="1"/>
    </row>
    <row r="35" spans="1:16" ht="16.5">
      <c r="A35" s="55" t="s">
        <v>175</v>
      </c>
      <c r="B35" s="180"/>
      <c r="C35" s="56">
        <f>C31*B27/4</f>
        <v>2000000</v>
      </c>
      <c r="D35" s="56">
        <f>D31*B27/4</f>
        <v>2000000</v>
      </c>
      <c r="E35" s="56">
        <f>E31*B27/4</f>
        <v>2400000</v>
      </c>
      <c r="F35" s="56">
        <f>F31*B27/4</f>
        <v>2400000</v>
      </c>
      <c r="G35" s="56">
        <f>G31*B27/4</f>
        <v>2800000</v>
      </c>
      <c r="H35" s="56">
        <f>H31*B27/4</f>
        <v>2800000</v>
      </c>
      <c r="I35" s="120">
        <f>SUM(C35:H35)</f>
        <v>14400000</v>
      </c>
      <c r="J35" s="84"/>
      <c r="K35" s="121"/>
      <c r="M35" s="3"/>
      <c r="P35" s="1"/>
    </row>
    <row r="36" spans="1:16" ht="33.75">
      <c r="A36" s="105" t="s">
        <v>32</v>
      </c>
      <c r="B36" s="181"/>
      <c r="C36" s="122">
        <f>(C32*B26)/4</f>
        <v>4800000</v>
      </c>
      <c r="D36" s="122">
        <f>(D32*B27)/4</f>
        <v>5200000</v>
      </c>
      <c r="E36" s="122">
        <f>(E32*B27)/4</f>
        <v>6000000</v>
      </c>
      <c r="F36" s="122">
        <f>(F32*B27)/4</f>
        <v>6000000</v>
      </c>
      <c r="G36" s="122">
        <f>(G32*B27)/4</f>
        <v>6800000</v>
      </c>
      <c r="H36" s="122">
        <f>(H32*B27)/4</f>
        <v>7200000</v>
      </c>
      <c r="I36" s="88">
        <f>SUM(C36:H36)</f>
        <v>36000000</v>
      </c>
      <c r="J36" s="84"/>
      <c r="K36" s="123" t="s">
        <v>33</v>
      </c>
      <c r="M36" s="6"/>
      <c r="P36" s="1"/>
    </row>
    <row r="37" spans="1:16" ht="15.75">
      <c r="A37" s="124"/>
      <c r="B37" s="125"/>
      <c r="C37" s="126"/>
      <c r="D37" s="126"/>
      <c r="E37" s="126"/>
      <c r="F37" s="126"/>
      <c r="G37" s="126"/>
      <c r="H37" s="126"/>
      <c r="I37" s="127"/>
      <c r="J37" s="84"/>
      <c r="K37" s="123"/>
      <c r="M37" s="6"/>
      <c r="P37" s="1"/>
    </row>
    <row r="38" spans="1:16" ht="18" thickBot="1">
      <c r="A38" s="128" t="s">
        <v>214</v>
      </c>
      <c r="B38" s="182"/>
      <c r="C38" s="129">
        <f aca="true" t="shared" si="5" ref="C38:H38">5%*C36</f>
        <v>240000</v>
      </c>
      <c r="D38" s="129">
        <f t="shared" si="5"/>
        <v>260000</v>
      </c>
      <c r="E38" s="129">
        <f t="shared" si="5"/>
        <v>300000</v>
      </c>
      <c r="F38" s="129">
        <f t="shared" si="5"/>
        <v>300000</v>
      </c>
      <c r="G38" s="129">
        <f t="shared" si="5"/>
        <v>340000</v>
      </c>
      <c r="H38" s="129">
        <f t="shared" si="5"/>
        <v>360000</v>
      </c>
      <c r="I38" s="130">
        <f>SUM(C38:H38)</f>
        <v>1800000</v>
      </c>
      <c r="J38" s="84"/>
      <c r="K38" s="85"/>
      <c r="M38" s="6"/>
      <c r="P38" s="1"/>
    </row>
    <row r="39" spans="1:16" ht="16.5" thickBot="1">
      <c r="A39" s="48"/>
      <c r="B39" s="93"/>
      <c r="C39" s="93"/>
      <c r="D39" s="93"/>
      <c r="E39" s="93"/>
      <c r="F39" s="93"/>
      <c r="G39" s="93"/>
      <c r="H39" s="93"/>
      <c r="I39" s="94"/>
      <c r="J39" s="84"/>
      <c r="K39" s="85"/>
      <c r="M39" s="6"/>
      <c r="P39" s="1"/>
    </row>
    <row r="40" spans="1:16" ht="24">
      <c r="A40" s="375" t="s">
        <v>77</v>
      </c>
      <c r="B40" s="376"/>
      <c r="C40" s="376"/>
      <c r="D40" s="376"/>
      <c r="E40" s="376"/>
      <c r="F40" s="376"/>
      <c r="G40" s="376"/>
      <c r="H40" s="376"/>
      <c r="I40" s="377"/>
      <c r="J40" s="131"/>
      <c r="K40" s="51" t="s">
        <v>78</v>
      </c>
      <c r="M40" s="19"/>
      <c r="N40" s="19"/>
      <c r="O40" s="19"/>
      <c r="P40" s="1"/>
    </row>
    <row r="41" spans="1:16" ht="51">
      <c r="A41" s="96" t="s">
        <v>35</v>
      </c>
      <c r="B41" s="165">
        <v>100000</v>
      </c>
      <c r="C41" s="166"/>
      <c r="D41" s="166"/>
      <c r="E41" s="166"/>
      <c r="F41" s="166"/>
      <c r="G41" s="166"/>
      <c r="H41" s="166"/>
      <c r="I41" s="167"/>
      <c r="J41" s="131"/>
      <c r="K41" s="89" t="s">
        <v>34</v>
      </c>
      <c r="L41" s="19"/>
      <c r="M41" s="19"/>
      <c r="N41" s="19"/>
      <c r="O41" s="19"/>
      <c r="P41" s="1"/>
    </row>
    <row r="42" spans="1:16" ht="19.5" thickBot="1">
      <c r="A42" s="168"/>
      <c r="B42" s="169"/>
      <c r="C42" s="166"/>
      <c r="D42" s="166"/>
      <c r="E42" s="166"/>
      <c r="F42" s="166"/>
      <c r="G42" s="166"/>
      <c r="H42" s="166"/>
      <c r="I42" s="167"/>
      <c r="J42" s="131"/>
      <c r="K42" s="132"/>
      <c r="L42" s="19"/>
      <c r="M42" s="19"/>
      <c r="N42" s="19"/>
      <c r="O42" s="19"/>
      <c r="P42" s="1"/>
    </row>
    <row r="43" spans="1:16" ht="22.5" customHeight="1">
      <c r="A43" s="63" t="s">
        <v>25</v>
      </c>
      <c r="B43" s="64">
        <v>2021</v>
      </c>
      <c r="C43" s="64">
        <v>2022</v>
      </c>
      <c r="D43" s="64">
        <v>2023</v>
      </c>
      <c r="E43" s="64">
        <v>2024</v>
      </c>
      <c r="F43" s="64">
        <v>2025</v>
      </c>
      <c r="G43" s="64">
        <v>2026</v>
      </c>
      <c r="H43" s="64">
        <v>2027</v>
      </c>
      <c r="I43" s="65" t="s">
        <v>0</v>
      </c>
      <c r="J43" s="133"/>
      <c r="K43" s="134" t="s">
        <v>91</v>
      </c>
      <c r="L43" s="4"/>
      <c r="M43" s="4"/>
      <c r="N43" s="4"/>
      <c r="O43" s="5"/>
      <c r="P43" s="1"/>
    </row>
    <row r="44" spans="1:16" ht="51.75" thickBot="1">
      <c r="A44" s="101" t="s">
        <v>27</v>
      </c>
      <c r="B44" s="175"/>
      <c r="C44" s="175"/>
      <c r="D44" s="108">
        <v>6</v>
      </c>
      <c r="E44" s="108">
        <v>6</v>
      </c>
      <c r="F44" s="108">
        <v>7</v>
      </c>
      <c r="G44" s="108">
        <v>7</v>
      </c>
      <c r="H44" s="108">
        <v>8</v>
      </c>
      <c r="I44" s="170">
        <f>SUM(D44:H44)</f>
        <v>34</v>
      </c>
      <c r="J44" s="84"/>
      <c r="K44" s="135">
        <f>I44/D44</f>
        <v>5.666666666666667</v>
      </c>
      <c r="M44" s="2"/>
      <c r="P44" s="1"/>
    </row>
    <row r="45" spans="1:16" ht="16.5" thickBot="1">
      <c r="A45" s="171" t="s">
        <v>7</v>
      </c>
      <c r="B45" s="175"/>
      <c r="C45" s="175"/>
      <c r="D45" s="56">
        <f>(B41*D44)/2</f>
        <v>300000</v>
      </c>
      <c r="E45" s="56">
        <f>(E44*B41)/2</f>
        <v>300000</v>
      </c>
      <c r="F45" s="56">
        <f>(F44*B41)/2</f>
        <v>350000</v>
      </c>
      <c r="G45" s="56">
        <f>(G44*B41)/2</f>
        <v>350000</v>
      </c>
      <c r="H45" s="56">
        <f>(H44*B41)/2</f>
        <v>400000</v>
      </c>
      <c r="I45" s="88">
        <f>SUM(D45:H45)</f>
        <v>1700000</v>
      </c>
      <c r="J45" s="84"/>
      <c r="K45" s="136" t="s">
        <v>96</v>
      </c>
      <c r="M45" s="4"/>
      <c r="P45" s="1"/>
    </row>
    <row r="46" spans="1:16" ht="16.5" thickBot="1">
      <c r="A46" s="172" t="s">
        <v>36</v>
      </c>
      <c r="B46" s="176"/>
      <c r="C46" s="177"/>
      <c r="D46" s="173">
        <f>5%*D45</f>
        <v>15000</v>
      </c>
      <c r="E46" s="173">
        <f>5%*E45</f>
        <v>15000</v>
      </c>
      <c r="F46" s="173">
        <f>5%*F45</f>
        <v>17500</v>
      </c>
      <c r="G46" s="173">
        <f>5%*G45</f>
        <v>17500</v>
      </c>
      <c r="H46" s="173">
        <f>5%*H45</f>
        <v>20000</v>
      </c>
      <c r="I46" s="174">
        <f>SUM(D46:H46)</f>
        <v>85000</v>
      </c>
      <c r="J46" s="84"/>
      <c r="K46" s="89"/>
      <c r="M46" s="4"/>
      <c r="P46" s="1"/>
    </row>
    <row r="47" spans="1:16" ht="16.5" thickBot="1">
      <c r="A47" s="137"/>
      <c r="B47" s="138"/>
      <c r="C47" s="139"/>
      <c r="D47" s="138"/>
      <c r="E47" s="138"/>
      <c r="F47" s="138"/>
      <c r="G47" s="138"/>
      <c r="H47" s="138"/>
      <c r="I47" s="140"/>
      <c r="K47" s="89"/>
      <c r="M47" s="4"/>
      <c r="P47" s="1"/>
    </row>
    <row r="48" spans="1:16" ht="24.75" thickBot="1">
      <c r="A48" s="412" t="s">
        <v>221</v>
      </c>
      <c r="B48" s="413"/>
      <c r="C48" s="413"/>
      <c r="D48" s="413"/>
      <c r="E48" s="413"/>
      <c r="F48" s="413"/>
      <c r="G48" s="413"/>
      <c r="H48" s="413"/>
      <c r="I48" s="413"/>
      <c r="J48" s="414"/>
      <c r="K48" s="141"/>
      <c r="L48" s="28"/>
      <c r="M48" s="1"/>
      <c r="N48" s="1"/>
      <c r="O48" s="1"/>
      <c r="P48" s="1"/>
    </row>
    <row r="49" spans="1:16" ht="30">
      <c r="A49" s="183"/>
      <c r="B49" s="184">
        <v>2021</v>
      </c>
      <c r="C49" s="184">
        <v>2022</v>
      </c>
      <c r="D49" s="184">
        <v>2023</v>
      </c>
      <c r="E49" s="184">
        <v>2024</v>
      </c>
      <c r="F49" s="184">
        <v>2025</v>
      </c>
      <c r="G49" s="185" t="s">
        <v>0</v>
      </c>
      <c r="H49" s="184">
        <v>2026</v>
      </c>
      <c r="I49" s="184">
        <v>2027</v>
      </c>
      <c r="J49" s="186" t="s">
        <v>0</v>
      </c>
      <c r="K49" s="142" t="s">
        <v>93</v>
      </c>
      <c r="L49" s="29" t="s">
        <v>61</v>
      </c>
      <c r="M49" s="1"/>
      <c r="N49" s="1"/>
      <c r="O49" s="1"/>
      <c r="P49" s="1"/>
    </row>
    <row r="50" spans="1:16" ht="33.75">
      <c r="A50" s="106" t="s">
        <v>240</v>
      </c>
      <c r="B50" s="56">
        <f aca="true" t="shared" si="6" ref="B50:G50">1.5%*B52</f>
        <v>3750</v>
      </c>
      <c r="C50" s="56">
        <f t="shared" si="6"/>
        <v>41100</v>
      </c>
      <c r="D50" s="56">
        <f t="shared" si="6"/>
        <v>91650</v>
      </c>
      <c r="E50" s="56">
        <f t="shared" si="6"/>
        <v>127200</v>
      </c>
      <c r="F50" s="56">
        <f>1.5%*F52</f>
        <v>162750</v>
      </c>
      <c r="G50" s="188">
        <f t="shared" si="6"/>
        <v>426450</v>
      </c>
      <c r="H50" s="189">
        <f>1.5%*H52</f>
        <v>198300</v>
      </c>
      <c r="I50" s="189">
        <f>1.5%*I52</f>
        <v>233850</v>
      </c>
      <c r="J50" s="190">
        <f>SUM(B50:F50,H50:I50)</f>
        <v>858600</v>
      </c>
      <c r="K50" s="143">
        <f>G50/B50</f>
        <v>113.72</v>
      </c>
      <c r="L50" s="30">
        <f>J50/B50</f>
        <v>228.96</v>
      </c>
      <c r="M50" s="1"/>
      <c r="N50" s="1"/>
      <c r="O50" s="1"/>
      <c r="P50" s="1"/>
    </row>
    <row r="51" spans="1:16" ht="30">
      <c r="A51" s="235"/>
      <c r="B51" s="236"/>
      <c r="C51" s="236"/>
      <c r="D51" s="236"/>
      <c r="E51" s="236"/>
      <c r="F51" s="236"/>
      <c r="G51" s="237"/>
      <c r="H51" s="238"/>
      <c r="I51" s="238"/>
      <c r="J51" s="239"/>
      <c r="K51" s="144" t="s">
        <v>93</v>
      </c>
      <c r="L51" s="31" t="s">
        <v>61</v>
      </c>
      <c r="M51" s="1"/>
      <c r="N51" s="1"/>
      <c r="O51" s="1"/>
      <c r="P51" s="1"/>
    </row>
    <row r="52" spans="1:16" ht="16.5" thickBot="1">
      <c r="A52" s="192" t="s">
        <v>52</v>
      </c>
      <c r="B52" s="122">
        <f aca="true" t="shared" si="7" ref="B52:J52">SUM(B54,B62,B65)</f>
        <v>250000</v>
      </c>
      <c r="C52" s="122">
        <f t="shared" si="7"/>
        <v>2740000</v>
      </c>
      <c r="D52" s="122">
        <f t="shared" si="7"/>
        <v>6110000</v>
      </c>
      <c r="E52" s="122">
        <f t="shared" si="7"/>
        <v>8480000</v>
      </c>
      <c r="F52" s="122">
        <f t="shared" si="7"/>
        <v>10850000</v>
      </c>
      <c r="G52" s="188">
        <f t="shared" si="7"/>
        <v>28430000</v>
      </c>
      <c r="H52" s="193">
        <f t="shared" si="7"/>
        <v>13220000</v>
      </c>
      <c r="I52" s="193">
        <f t="shared" si="7"/>
        <v>15590000</v>
      </c>
      <c r="J52" s="190">
        <f t="shared" si="7"/>
        <v>57240000</v>
      </c>
      <c r="K52" s="145">
        <f>G52/B52</f>
        <v>113.72</v>
      </c>
      <c r="L52" s="32">
        <f>J52/B52</f>
        <v>228.96</v>
      </c>
      <c r="M52" s="1"/>
      <c r="N52" s="1"/>
      <c r="O52" s="1"/>
      <c r="P52" s="1"/>
    </row>
    <row r="53" spans="1:16" ht="15.75">
      <c r="A53" s="235"/>
      <c r="B53" s="236"/>
      <c r="C53" s="236"/>
      <c r="D53" s="236"/>
      <c r="E53" s="236"/>
      <c r="F53" s="236"/>
      <c r="G53" s="240"/>
      <c r="H53" s="241"/>
      <c r="I53" s="241"/>
      <c r="J53" s="242"/>
      <c r="K53" s="146"/>
      <c r="M53" s="1"/>
      <c r="N53" s="1"/>
      <c r="O53" s="1"/>
      <c r="P53" s="1"/>
    </row>
    <row r="54" spans="1:16" ht="67.5">
      <c r="A54" s="105" t="s">
        <v>211</v>
      </c>
      <c r="B54" s="122">
        <f aca="true" t="shared" si="8" ref="B54:I54">SUM(B55,B58)</f>
        <v>250000</v>
      </c>
      <c r="C54" s="122">
        <f t="shared" si="8"/>
        <v>500000</v>
      </c>
      <c r="D54" s="122">
        <f t="shared" si="8"/>
        <v>750000</v>
      </c>
      <c r="E54" s="122">
        <f t="shared" si="8"/>
        <v>1000000</v>
      </c>
      <c r="F54" s="122">
        <f t="shared" si="8"/>
        <v>1250000</v>
      </c>
      <c r="G54" s="188">
        <f t="shared" si="8"/>
        <v>3750000</v>
      </c>
      <c r="H54" s="122">
        <f t="shared" si="8"/>
        <v>1500000</v>
      </c>
      <c r="I54" s="122">
        <f t="shared" si="8"/>
        <v>1750000</v>
      </c>
      <c r="J54" s="88">
        <f>SUM(B54:F54,H54:I54)</f>
        <v>7000000</v>
      </c>
      <c r="K54" s="146"/>
      <c r="M54" s="1"/>
      <c r="N54" s="1"/>
      <c r="O54" s="1"/>
      <c r="P54" s="1"/>
    </row>
    <row r="55" spans="1:16" ht="33.75">
      <c r="A55" s="106" t="s">
        <v>53</v>
      </c>
      <c r="B55" s="56">
        <f>125000*B56/2</f>
        <v>125000</v>
      </c>
      <c r="C55" s="56">
        <f>125000*C56/2</f>
        <v>250000</v>
      </c>
      <c r="D55" s="56">
        <f aca="true" t="shared" si="9" ref="D55:J55">125000*D56/2</f>
        <v>375000</v>
      </c>
      <c r="E55" s="56">
        <f t="shared" si="9"/>
        <v>500000</v>
      </c>
      <c r="F55" s="56">
        <f t="shared" si="9"/>
        <v>625000</v>
      </c>
      <c r="G55" s="194">
        <f t="shared" si="9"/>
        <v>1875000</v>
      </c>
      <c r="H55" s="56">
        <f t="shared" si="9"/>
        <v>750000</v>
      </c>
      <c r="I55" s="56">
        <f t="shared" si="9"/>
        <v>875000</v>
      </c>
      <c r="J55" s="120">
        <f t="shared" si="9"/>
        <v>3500000</v>
      </c>
      <c r="K55" s="146"/>
      <c r="M55" s="1"/>
      <c r="N55" s="1"/>
      <c r="O55" s="1"/>
      <c r="P55" s="1"/>
    </row>
    <row r="56" spans="1:16" ht="33.75">
      <c r="A56" s="253" t="s">
        <v>54</v>
      </c>
      <c r="B56" s="254">
        <v>2</v>
      </c>
      <c r="C56" s="254">
        <v>4</v>
      </c>
      <c r="D56" s="254">
        <v>6</v>
      </c>
      <c r="E56" s="254">
        <v>8</v>
      </c>
      <c r="F56" s="254">
        <v>10</v>
      </c>
      <c r="G56" s="202">
        <f>SUM(B56:F56)</f>
        <v>30</v>
      </c>
      <c r="H56" s="255">
        <v>12</v>
      </c>
      <c r="I56" s="256">
        <v>14</v>
      </c>
      <c r="J56" s="197">
        <f>SUM(B56:F56,H56:I56)</f>
        <v>56</v>
      </c>
      <c r="K56" s="146"/>
      <c r="M56" s="1"/>
      <c r="N56" s="1"/>
      <c r="O56" s="1"/>
      <c r="P56" s="1"/>
    </row>
    <row r="57" spans="1:16" ht="15.75">
      <c r="A57" s="243"/>
      <c r="B57" s="244"/>
      <c r="C57" s="244"/>
      <c r="D57" s="244"/>
      <c r="E57" s="244"/>
      <c r="F57" s="244"/>
      <c r="G57" s="245"/>
      <c r="H57" s="246"/>
      <c r="I57" s="246"/>
      <c r="J57" s="247"/>
      <c r="K57" s="146"/>
      <c r="M57" s="1"/>
      <c r="N57" s="1"/>
      <c r="O57" s="1"/>
      <c r="P57" s="1"/>
    </row>
    <row r="58" spans="1:16" ht="33.75">
      <c r="A58" s="106" t="s">
        <v>55</v>
      </c>
      <c r="B58" s="56">
        <f>125000*B59/2</f>
        <v>125000</v>
      </c>
      <c r="C58" s="56">
        <f>125000*C59/2</f>
        <v>250000</v>
      </c>
      <c r="D58" s="56">
        <f aca="true" t="shared" si="10" ref="D58:J58">125000*D59/2</f>
        <v>375000</v>
      </c>
      <c r="E58" s="56">
        <f t="shared" si="10"/>
        <v>500000</v>
      </c>
      <c r="F58" s="56">
        <f t="shared" si="10"/>
        <v>625000</v>
      </c>
      <c r="G58" s="194">
        <f t="shared" si="10"/>
        <v>1875000</v>
      </c>
      <c r="H58" s="56">
        <f t="shared" si="10"/>
        <v>750000</v>
      </c>
      <c r="I58" s="56">
        <f t="shared" si="10"/>
        <v>875000</v>
      </c>
      <c r="J58" s="120">
        <f t="shared" si="10"/>
        <v>3500000</v>
      </c>
      <c r="K58" s="146"/>
      <c r="M58" s="1"/>
      <c r="N58" s="1"/>
      <c r="O58" s="1"/>
      <c r="P58" s="1"/>
    </row>
    <row r="59" spans="1:16" ht="33.75">
      <c r="A59" s="195" t="s">
        <v>56</v>
      </c>
      <c r="B59" s="198">
        <v>2</v>
      </c>
      <c r="C59" s="198">
        <v>4</v>
      </c>
      <c r="D59" s="198">
        <v>6</v>
      </c>
      <c r="E59" s="198">
        <v>8</v>
      </c>
      <c r="F59" s="198">
        <v>10</v>
      </c>
      <c r="G59" s="199">
        <f>SUM(B59:F59)</f>
        <v>30</v>
      </c>
      <c r="H59" s="196">
        <v>12</v>
      </c>
      <c r="I59" s="196">
        <v>14</v>
      </c>
      <c r="J59" s="200">
        <f>SUM(B59:F59,H59:I59)</f>
        <v>56</v>
      </c>
      <c r="K59" s="146"/>
      <c r="M59" s="1"/>
      <c r="N59" s="1"/>
      <c r="O59" s="1"/>
      <c r="P59" s="1"/>
    </row>
    <row r="60" spans="1:16" ht="33.75">
      <c r="A60" s="105" t="s">
        <v>174</v>
      </c>
      <c r="B60" s="113">
        <f aca="true" t="shared" si="11" ref="B60:G60">B56+B59</f>
        <v>4</v>
      </c>
      <c r="C60" s="113">
        <f t="shared" si="11"/>
        <v>8</v>
      </c>
      <c r="D60" s="113">
        <f t="shared" si="11"/>
        <v>12</v>
      </c>
      <c r="E60" s="113">
        <f t="shared" si="11"/>
        <v>16</v>
      </c>
      <c r="F60" s="113">
        <f t="shared" si="11"/>
        <v>20</v>
      </c>
      <c r="G60" s="201">
        <f t="shared" si="11"/>
        <v>60</v>
      </c>
      <c r="H60" s="196">
        <v>24</v>
      </c>
      <c r="I60" s="196">
        <v>28</v>
      </c>
      <c r="J60" s="200">
        <f>SUM(B60:F60,H60:I60)</f>
        <v>112</v>
      </c>
      <c r="K60" s="146"/>
      <c r="M60" s="1"/>
      <c r="N60" s="1"/>
      <c r="O60" s="1"/>
      <c r="P60" s="1"/>
    </row>
    <row r="61" spans="1:16" ht="15.75">
      <c r="A61" s="248"/>
      <c r="B61" s="249"/>
      <c r="C61" s="249"/>
      <c r="D61" s="249"/>
      <c r="E61" s="249"/>
      <c r="F61" s="249"/>
      <c r="G61" s="245"/>
      <c r="H61" s="246"/>
      <c r="I61" s="246"/>
      <c r="J61" s="247"/>
      <c r="K61" s="146"/>
      <c r="M61" s="1"/>
      <c r="N61" s="1"/>
      <c r="O61" s="1"/>
      <c r="P61" s="1"/>
    </row>
    <row r="62" spans="1:16" ht="67.5">
      <c r="A62" s="105" t="s">
        <v>212</v>
      </c>
      <c r="B62" s="122"/>
      <c r="C62" s="122">
        <f aca="true" t="shared" si="12" ref="C62:J62">1600000*35%*C63</f>
        <v>2240000</v>
      </c>
      <c r="D62" s="122">
        <f t="shared" si="12"/>
        <v>3360000</v>
      </c>
      <c r="E62" s="122">
        <f t="shared" si="12"/>
        <v>4480000</v>
      </c>
      <c r="F62" s="122">
        <f t="shared" si="12"/>
        <v>5600000</v>
      </c>
      <c r="G62" s="188">
        <f t="shared" si="12"/>
        <v>15680000</v>
      </c>
      <c r="H62" s="122">
        <f t="shared" si="12"/>
        <v>6720000</v>
      </c>
      <c r="I62" s="122">
        <f t="shared" si="12"/>
        <v>7840000</v>
      </c>
      <c r="J62" s="88">
        <f t="shared" si="12"/>
        <v>30240000</v>
      </c>
      <c r="L62" s="337"/>
      <c r="M62" s="1"/>
      <c r="N62" s="1"/>
      <c r="O62" s="1"/>
      <c r="P62" s="1"/>
    </row>
    <row r="63" spans="1:16" ht="33.75">
      <c r="A63" s="195" t="s">
        <v>57</v>
      </c>
      <c r="B63" s="108"/>
      <c r="C63" s="108">
        <v>4</v>
      </c>
      <c r="D63" s="108">
        <v>6</v>
      </c>
      <c r="E63" s="108">
        <v>8</v>
      </c>
      <c r="F63" s="108">
        <v>10</v>
      </c>
      <c r="G63" s="202">
        <f>SUM(B63:F63)</f>
        <v>28</v>
      </c>
      <c r="H63" s="196">
        <v>12</v>
      </c>
      <c r="I63" s="196">
        <v>14</v>
      </c>
      <c r="J63" s="197">
        <f>SUM(B63:F63,H63:I63)</f>
        <v>54</v>
      </c>
      <c r="M63" s="1"/>
      <c r="N63" s="1"/>
      <c r="O63" s="1"/>
      <c r="P63" s="1"/>
    </row>
    <row r="64" spans="1:16" ht="15.75">
      <c r="A64" s="243"/>
      <c r="B64" s="244"/>
      <c r="C64" s="244"/>
      <c r="D64" s="244"/>
      <c r="E64" s="244"/>
      <c r="F64" s="249"/>
      <c r="G64" s="245"/>
      <c r="H64" s="246"/>
      <c r="I64" s="246"/>
      <c r="J64" s="247"/>
      <c r="M64" s="1"/>
      <c r="N64" s="1"/>
      <c r="O64" s="1"/>
      <c r="P64" s="1"/>
    </row>
    <row r="65" spans="1:16" ht="51">
      <c r="A65" s="105" t="s">
        <v>213</v>
      </c>
      <c r="B65" s="122"/>
      <c r="C65" s="122"/>
      <c r="D65" s="122">
        <f aca="true" t="shared" si="13" ref="D65:J65">1000000*D66</f>
        <v>2000000</v>
      </c>
      <c r="E65" s="122">
        <f t="shared" si="13"/>
        <v>3000000</v>
      </c>
      <c r="F65" s="122">
        <f t="shared" si="13"/>
        <v>4000000</v>
      </c>
      <c r="G65" s="188">
        <f t="shared" si="13"/>
        <v>9000000</v>
      </c>
      <c r="H65" s="122">
        <f t="shared" si="13"/>
        <v>5000000</v>
      </c>
      <c r="I65" s="122">
        <f t="shared" si="13"/>
        <v>6000000</v>
      </c>
      <c r="J65" s="88">
        <f t="shared" si="13"/>
        <v>20000000</v>
      </c>
      <c r="M65" s="1"/>
      <c r="N65" s="1"/>
      <c r="O65" s="1"/>
      <c r="P65" s="1"/>
    </row>
    <row r="66" spans="1:16" ht="34.5" thickBot="1">
      <c r="A66" s="203" t="s">
        <v>58</v>
      </c>
      <c r="B66" s="204"/>
      <c r="C66" s="204"/>
      <c r="D66" s="204">
        <v>2</v>
      </c>
      <c r="E66" s="204">
        <v>3</v>
      </c>
      <c r="F66" s="204">
        <v>4</v>
      </c>
      <c r="G66" s="205">
        <f>SUM(B66:F66)</f>
        <v>9</v>
      </c>
      <c r="H66" s="206">
        <v>5</v>
      </c>
      <c r="I66" s="206">
        <v>6</v>
      </c>
      <c r="J66" s="207">
        <f>SUM(B66:F66,H66:I66)</f>
        <v>20</v>
      </c>
      <c r="M66" s="1"/>
      <c r="N66" s="1"/>
      <c r="O66" s="1"/>
      <c r="P66" s="1"/>
    </row>
    <row r="67" spans="1:16" ht="15.75">
      <c r="A67" s="124"/>
      <c r="B67" s="126"/>
      <c r="C67" s="126"/>
      <c r="D67" s="126"/>
      <c r="E67" s="126"/>
      <c r="F67" s="126"/>
      <c r="G67" s="250"/>
      <c r="H67" s="251"/>
      <c r="I67" s="251"/>
      <c r="J67" s="252"/>
      <c r="K67" s="147" t="s">
        <v>85</v>
      </c>
      <c r="M67" s="1"/>
      <c r="N67" s="1"/>
      <c r="O67" s="1"/>
      <c r="P67" s="1"/>
    </row>
    <row r="68" spans="1:16" ht="18" thickBot="1">
      <c r="A68" s="258" t="s">
        <v>84</v>
      </c>
      <c r="B68" s="257">
        <f>B66+B63+B60</f>
        <v>4</v>
      </c>
      <c r="C68" s="257">
        <f aca="true" t="shared" si="14" ref="C68:J68">C66+C63+C60</f>
        <v>12</v>
      </c>
      <c r="D68" s="257">
        <f t="shared" si="14"/>
        <v>20</v>
      </c>
      <c r="E68" s="257">
        <f t="shared" si="14"/>
        <v>27</v>
      </c>
      <c r="F68" s="257">
        <f t="shared" si="14"/>
        <v>34</v>
      </c>
      <c r="G68" s="257">
        <f t="shared" si="14"/>
        <v>97</v>
      </c>
      <c r="H68" s="257">
        <f t="shared" si="14"/>
        <v>41</v>
      </c>
      <c r="I68" s="257">
        <f t="shared" si="14"/>
        <v>48</v>
      </c>
      <c r="J68" s="259">
        <f t="shared" si="14"/>
        <v>186</v>
      </c>
      <c r="K68" s="148">
        <f>J68/B68</f>
        <v>46.5</v>
      </c>
      <c r="M68" s="1"/>
      <c r="N68" s="1"/>
      <c r="O68" s="1"/>
      <c r="P68" s="1"/>
    </row>
    <row r="69" spans="11:16" ht="34.5" thickBot="1">
      <c r="K69" s="149" t="s">
        <v>97</v>
      </c>
      <c r="M69" s="1"/>
      <c r="N69" s="1"/>
      <c r="O69" s="1"/>
      <c r="P69" s="1"/>
    </row>
    <row r="70" spans="1:15" ht="24.75" thickBot="1">
      <c r="A70" s="425" t="s">
        <v>223</v>
      </c>
      <c r="B70" s="426"/>
      <c r="C70" s="426"/>
      <c r="D70" s="426"/>
      <c r="E70" s="426"/>
      <c r="F70" s="426"/>
      <c r="G70" s="426"/>
      <c r="H70" s="426"/>
      <c r="I70" s="427"/>
      <c r="J70" s="132"/>
      <c r="K70" s="132"/>
      <c r="L70" s="20"/>
      <c r="M70" s="20"/>
      <c r="N70" s="20"/>
      <c r="O70" s="20"/>
    </row>
    <row r="71" spans="1:15" ht="21.75" thickBot="1">
      <c r="A71" s="431" t="s">
        <v>189</v>
      </c>
      <c r="B71" s="432"/>
      <c r="C71" s="432"/>
      <c r="D71" s="432"/>
      <c r="E71" s="432"/>
      <c r="F71" s="432"/>
      <c r="G71" s="432"/>
      <c r="H71" s="432"/>
      <c r="I71" s="433"/>
      <c r="J71" s="132"/>
      <c r="K71" s="132"/>
      <c r="L71" s="20"/>
      <c r="M71" s="20"/>
      <c r="N71" s="20"/>
      <c r="O71" s="20"/>
    </row>
    <row r="72" spans="1:15" ht="15.75">
      <c r="A72" s="232"/>
      <c r="B72" s="184">
        <v>2021</v>
      </c>
      <c r="C72" s="184">
        <v>2022</v>
      </c>
      <c r="D72" s="184">
        <v>2023</v>
      </c>
      <c r="E72" s="184">
        <v>2024</v>
      </c>
      <c r="F72" s="184">
        <v>2025</v>
      </c>
      <c r="G72" s="184">
        <v>2026</v>
      </c>
      <c r="H72" s="184">
        <v>2027</v>
      </c>
      <c r="I72" s="186" t="s">
        <v>0</v>
      </c>
      <c r="J72" s="132"/>
      <c r="K72" s="132"/>
      <c r="L72" s="20"/>
      <c r="M72" s="20"/>
      <c r="N72" s="20"/>
      <c r="O72" s="20"/>
    </row>
    <row r="73" spans="1:15" ht="51">
      <c r="A73" s="105" t="s">
        <v>216</v>
      </c>
      <c r="B73" s="64">
        <v>4</v>
      </c>
      <c r="C73" s="64">
        <v>5</v>
      </c>
      <c r="D73" s="64">
        <v>6</v>
      </c>
      <c r="E73" s="64">
        <v>7</v>
      </c>
      <c r="F73" s="64">
        <v>7</v>
      </c>
      <c r="G73" s="64">
        <v>7</v>
      </c>
      <c r="H73" s="64">
        <v>7</v>
      </c>
      <c r="I73" s="65">
        <f>SUM(B73:H73)</f>
        <v>43</v>
      </c>
      <c r="J73" s="132"/>
      <c r="K73" s="150" t="s">
        <v>193</v>
      </c>
      <c r="L73" s="20"/>
      <c r="M73" s="20"/>
      <c r="N73" s="20"/>
      <c r="O73" s="20"/>
    </row>
    <row r="74" spans="1:15" ht="16.5">
      <c r="A74" s="105" t="s">
        <v>218</v>
      </c>
      <c r="B74" s="64">
        <f aca="true" t="shared" si="15" ref="B74:H74">B73*25</f>
        <v>100</v>
      </c>
      <c r="C74" s="64">
        <f t="shared" si="15"/>
        <v>125</v>
      </c>
      <c r="D74" s="64">
        <f t="shared" si="15"/>
        <v>150</v>
      </c>
      <c r="E74" s="64">
        <f t="shared" si="15"/>
        <v>175</v>
      </c>
      <c r="F74" s="64">
        <f t="shared" si="15"/>
        <v>175</v>
      </c>
      <c r="G74" s="64">
        <f t="shared" si="15"/>
        <v>175</v>
      </c>
      <c r="H74" s="64">
        <f t="shared" si="15"/>
        <v>175</v>
      </c>
      <c r="I74" s="65">
        <f>SUM(B74:H74)</f>
        <v>1075</v>
      </c>
      <c r="J74" s="132"/>
      <c r="K74" s="150"/>
      <c r="L74" s="20"/>
      <c r="M74" s="20"/>
      <c r="N74" s="20"/>
      <c r="O74" s="20"/>
    </row>
    <row r="75" spans="1:15" ht="33.75">
      <c r="A75" s="105" t="s">
        <v>191</v>
      </c>
      <c r="B75" s="113">
        <f>15%*B74</f>
        <v>15</v>
      </c>
      <c r="C75" s="113">
        <f aca="true" t="shared" si="16" ref="C75:H75">15%*C74</f>
        <v>18.75</v>
      </c>
      <c r="D75" s="113">
        <f t="shared" si="16"/>
        <v>22.5</v>
      </c>
      <c r="E75" s="113">
        <f t="shared" si="16"/>
        <v>26.25</v>
      </c>
      <c r="F75" s="113">
        <f t="shared" si="16"/>
        <v>26.25</v>
      </c>
      <c r="G75" s="113">
        <f t="shared" si="16"/>
        <v>26.25</v>
      </c>
      <c r="H75" s="113">
        <f t="shared" si="16"/>
        <v>26.25</v>
      </c>
      <c r="I75" s="234">
        <f>SUM(B75:H75)</f>
        <v>161.25</v>
      </c>
      <c r="J75" s="132"/>
      <c r="K75" s="150" t="s">
        <v>217</v>
      </c>
      <c r="L75" s="20"/>
      <c r="M75" s="20"/>
      <c r="N75" s="20"/>
      <c r="O75" s="20"/>
    </row>
    <row r="76" spans="1:15" ht="67.5">
      <c r="A76" s="105" t="s">
        <v>219</v>
      </c>
      <c r="B76" s="122">
        <v>35000</v>
      </c>
      <c r="C76" s="122">
        <v>35000</v>
      </c>
      <c r="D76" s="122">
        <v>35000</v>
      </c>
      <c r="E76" s="122">
        <v>35000</v>
      </c>
      <c r="F76" s="122">
        <v>35000</v>
      </c>
      <c r="G76" s="122">
        <v>35000</v>
      </c>
      <c r="H76" s="122">
        <v>35000</v>
      </c>
      <c r="I76" s="88"/>
      <c r="J76" s="132"/>
      <c r="K76" s="150" t="s">
        <v>192</v>
      </c>
      <c r="L76" s="20"/>
      <c r="M76" s="20"/>
      <c r="N76" s="20"/>
      <c r="O76" s="20"/>
    </row>
    <row r="77" spans="1:15" ht="16.5">
      <c r="A77" s="105" t="s">
        <v>220</v>
      </c>
      <c r="B77" s="122">
        <f>B76*B73</f>
        <v>140000</v>
      </c>
      <c r="C77" s="122">
        <f aca="true" t="shared" si="17" ref="C77:H77">C76*C73</f>
        <v>175000</v>
      </c>
      <c r="D77" s="122">
        <f t="shared" si="17"/>
        <v>210000</v>
      </c>
      <c r="E77" s="122">
        <f t="shared" si="17"/>
        <v>245000</v>
      </c>
      <c r="F77" s="122">
        <f t="shared" si="17"/>
        <v>245000</v>
      </c>
      <c r="G77" s="122">
        <f t="shared" si="17"/>
        <v>245000</v>
      </c>
      <c r="H77" s="122">
        <f t="shared" si="17"/>
        <v>245000</v>
      </c>
      <c r="I77" s="88">
        <f>SUM(B77:H77)</f>
        <v>1505000</v>
      </c>
      <c r="J77" s="132"/>
      <c r="K77" s="150"/>
      <c r="L77" s="20"/>
      <c r="M77" s="20"/>
      <c r="N77" s="20"/>
      <c r="O77" s="20"/>
    </row>
    <row r="78" spans="1:15" ht="33.75">
      <c r="A78" s="105" t="s">
        <v>241</v>
      </c>
      <c r="B78" s="122">
        <f>15%*B77</f>
        <v>21000</v>
      </c>
      <c r="C78" s="122">
        <f aca="true" t="shared" si="18" ref="C78:H78">15%*C77</f>
        <v>26250</v>
      </c>
      <c r="D78" s="122">
        <f t="shared" si="18"/>
        <v>31500</v>
      </c>
      <c r="E78" s="122">
        <f t="shared" si="18"/>
        <v>36750</v>
      </c>
      <c r="F78" s="122">
        <f t="shared" si="18"/>
        <v>36750</v>
      </c>
      <c r="G78" s="122">
        <f t="shared" si="18"/>
        <v>36750</v>
      </c>
      <c r="H78" s="122">
        <f t="shared" si="18"/>
        <v>36750</v>
      </c>
      <c r="I78" s="88">
        <f>SUM(B78:H78)</f>
        <v>225750</v>
      </c>
      <c r="J78" s="132"/>
      <c r="K78" s="150"/>
      <c r="L78" s="20"/>
      <c r="M78" s="20"/>
      <c r="N78" s="20"/>
      <c r="O78" s="20"/>
    </row>
    <row r="79" spans="1:15" ht="19.5" thickBot="1">
      <c r="A79" s="340"/>
      <c r="B79" s="341"/>
      <c r="C79" s="341"/>
      <c r="D79" s="341"/>
      <c r="E79" s="341"/>
      <c r="F79" s="341"/>
      <c r="G79" s="341"/>
      <c r="H79" s="341"/>
      <c r="I79" s="342"/>
      <c r="J79" s="132"/>
      <c r="K79" s="132"/>
      <c r="L79" s="20"/>
      <c r="M79" s="20"/>
      <c r="N79" s="20"/>
      <c r="O79" s="20"/>
    </row>
    <row r="80" spans="1:15" ht="16.5" thickBot="1">
      <c r="A80" s="151"/>
      <c r="B80" s="152"/>
      <c r="C80" s="152"/>
      <c r="D80" s="152"/>
      <c r="E80" s="152"/>
      <c r="F80" s="152"/>
      <c r="G80" s="152"/>
      <c r="H80" s="152"/>
      <c r="I80" s="153"/>
      <c r="J80" s="132"/>
      <c r="K80" s="132"/>
      <c r="L80" s="20"/>
      <c r="M80" s="20"/>
      <c r="N80" s="20"/>
      <c r="O80" s="20"/>
    </row>
    <row r="81" spans="1:15" ht="21.75" thickBot="1">
      <c r="A81" s="431" t="s">
        <v>190</v>
      </c>
      <c r="B81" s="432"/>
      <c r="C81" s="432"/>
      <c r="D81" s="432"/>
      <c r="E81" s="432"/>
      <c r="F81" s="432"/>
      <c r="G81" s="432"/>
      <c r="H81" s="432"/>
      <c r="I81" s="433"/>
      <c r="J81" s="132"/>
      <c r="K81" s="132"/>
      <c r="L81" s="20"/>
      <c r="M81" s="20"/>
      <c r="N81" s="20"/>
      <c r="O81" s="20"/>
    </row>
    <row r="82" spans="1:15" ht="15.75">
      <c r="A82" s="192" t="s">
        <v>38</v>
      </c>
      <c r="B82" s="64">
        <v>2021</v>
      </c>
      <c r="C82" s="64">
        <v>2022</v>
      </c>
      <c r="D82" s="64">
        <v>2023</v>
      </c>
      <c r="E82" s="64">
        <v>2024</v>
      </c>
      <c r="F82" s="64">
        <v>2025</v>
      </c>
      <c r="G82" s="64">
        <v>2026</v>
      </c>
      <c r="H82" s="64">
        <v>2027</v>
      </c>
      <c r="I82" s="65" t="s">
        <v>0</v>
      </c>
      <c r="J82" s="132"/>
      <c r="K82" s="107" t="s">
        <v>18</v>
      </c>
      <c r="L82" s="27" t="s">
        <v>19</v>
      </c>
      <c r="M82" s="27"/>
      <c r="N82" s="15"/>
      <c r="O82" s="26"/>
    </row>
    <row r="83" spans="1:15" ht="16.5">
      <c r="A83" s="63" t="s">
        <v>101</v>
      </c>
      <c r="B83" s="64">
        <v>15</v>
      </c>
      <c r="C83" s="64">
        <v>16</v>
      </c>
      <c r="D83" s="64">
        <v>18</v>
      </c>
      <c r="E83" s="70">
        <v>19</v>
      </c>
      <c r="F83" s="70">
        <v>21</v>
      </c>
      <c r="G83" s="70">
        <v>22</v>
      </c>
      <c r="H83" s="70">
        <v>24</v>
      </c>
      <c r="I83" s="65">
        <f>SUM(B83:H83)</f>
        <v>135</v>
      </c>
      <c r="J83" s="48"/>
      <c r="K83" s="49"/>
      <c r="L83" s="1"/>
      <c r="N83" s="1"/>
      <c r="O83" s="1"/>
    </row>
    <row r="84" spans="1:15" ht="16.5">
      <c r="A84" s="63" t="s">
        <v>98</v>
      </c>
      <c r="B84" s="64">
        <v>10</v>
      </c>
      <c r="C84" s="64">
        <v>11</v>
      </c>
      <c r="D84" s="64">
        <v>12</v>
      </c>
      <c r="E84" s="70">
        <v>13</v>
      </c>
      <c r="F84" s="70">
        <v>14</v>
      </c>
      <c r="G84" s="70">
        <v>15</v>
      </c>
      <c r="H84" s="70">
        <v>16</v>
      </c>
      <c r="I84" s="65">
        <f>SUM(B84:H84)</f>
        <v>91</v>
      </c>
      <c r="J84" s="48"/>
      <c r="K84" s="49"/>
      <c r="L84" s="1"/>
      <c r="N84" s="1"/>
      <c r="O84" s="1"/>
    </row>
    <row r="85" spans="1:15" ht="33.75">
      <c r="A85" s="63" t="s">
        <v>107</v>
      </c>
      <c r="B85" s="64">
        <f aca="true" t="shared" si="19" ref="B85:I85">SUM(B83:B84)</f>
        <v>25</v>
      </c>
      <c r="C85" s="64">
        <f t="shared" si="19"/>
        <v>27</v>
      </c>
      <c r="D85" s="64">
        <f t="shared" si="19"/>
        <v>30</v>
      </c>
      <c r="E85" s="64">
        <f t="shared" si="19"/>
        <v>32</v>
      </c>
      <c r="F85" s="64">
        <f t="shared" si="19"/>
        <v>35</v>
      </c>
      <c r="G85" s="64">
        <f t="shared" si="19"/>
        <v>37</v>
      </c>
      <c r="H85" s="64">
        <f t="shared" si="19"/>
        <v>40</v>
      </c>
      <c r="I85" s="65">
        <f t="shared" si="19"/>
        <v>226</v>
      </c>
      <c r="J85" s="48"/>
      <c r="K85" s="49"/>
      <c r="L85" s="1"/>
      <c r="N85" s="1"/>
      <c r="O85" s="1"/>
    </row>
    <row r="86" spans="1:15" ht="15.75">
      <c r="A86" s="262"/>
      <c r="B86" s="263"/>
      <c r="C86" s="264"/>
      <c r="D86" s="264"/>
      <c r="E86" s="264"/>
      <c r="F86" s="263"/>
      <c r="G86" s="264"/>
      <c r="H86" s="264"/>
      <c r="I86" s="265"/>
      <c r="J86" s="48"/>
      <c r="K86" s="49"/>
      <c r="L86" s="1"/>
      <c r="N86" s="1"/>
      <c r="O86" s="1"/>
    </row>
    <row r="87" spans="1:15" ht="33.75">
      <c r="A87" s="63" t="s">
        <v>185</v>
      </c>
      <c r="B87" s="107"/>
      <c r="C87" s="107"/>
      <c r="D87" s="107"/>
      <c r="E87" s="107"/>
      <c r="F87" s="107"/>
      <c r="G87" s="107"/>
      <c r="H87" s="107"/>
      <c r="I87" s="218"/>
      <c r="J87" s="48"/>
      <c r="K87" s="150"/>
      <c r="L87" s="9"/>
      <c r="M87" s="1"/>
      <c r="N87" s="1"/>
      <c r="O87" s="1"/>
    </row>
    <row r="88" spans="1:15" ht="51">
      <c r="A88" s="78" t="s">
        <v>99</v>
      </c>
      <c r="B88" s="107">
        <v>15</v>
      </c>
      <c r="C88" s="107">
        <v>1</v>
      </c>
      <c r="D88" s="107">
        <v>2</v>
      </c>
      <c r="E88" s="107">
        <v>1</v>
      </c>
      <c r="F88" s="107">
        <v>2</v>
      </c>
      <c r="G88" s="107">
        <v>1</v>
      </c>
      <c r="H88" s="107">
        <v>2</v>
      </c>
      <c r="I88" s="218">
        <f>SUM(B88:H88)</f>
        <v>24</v>
      </c>
      <c r="J88" s="48"/>
      <c r="K88" s="150" t="s">
        <v>116</v>
      </c>
      <c r="L88" s="9"/>
      <c r="M88" s="1"/>
      <c r="N88" s="1"/>
      <c r="O88" s="1"/>
    </row>
    <row r="89" spans="1:15" ht="15.75">
      <c r="A89" s="78" t="s">
        <v>69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218">
        <f>SUM(B89:H89)</f>
        <v>0</v>
      </c>
      <c r="J89" s="48"/>
      <c r="L89" s="9"/>
      <c r="M89" s="1"/>
      <c r="N89" s="1"/>
      <c r="O89" s="1"/>
    </row>
    <row r="90" spans="1:15" ht="33.75">
      <c r="A90" s="63" t="s">
        <v>105</v>
      </c>
      <c r="B90" s="64">
        <f>SUM(B88:B89)</f>
        <v>15</v>
      </c>
      <c r="C90" s="64">
        <f aca="true" t="shared" si="20" ref="C90:I90">SUM(C88:C89)</f>
        <v>1</v>
      </c>
      <c r="D90" s="64">
        <f t="shared" si="20"/>
        <v>2</v>
      </c>
      <c r="E90" s="64">
        <f t="shared" si="20"/>
        <v>1</v>
      </c>
      <c r="F90" s="64">
        <f t="shared" si="20"/>
        <v>2</v>
      </c>
      <c r="G90" s="64">
        <f t="shared" si="20"/>
        <v>1</v>
      </c>
      <c r="H90" s="64">
        <f t="shared" si="20"/>
        <v>2</v>
      </c>
      <c r="I90" s="65">
        <f t="shared" si="20"/>
        <v>24</v>
      </c>
      <c r="J90" s="48"/>
      <c r="K90" s="150" t="s">
        <v>118</v>
      </c>
      <c r="L90" s="9"/>
      <c r="M90" s="1"/>
      <c r="N90" s="1"/>
      <c r="O90" s="1"/>
    </row>
    <row r="91" spans="1:15" ht="15.75">
      <c r="A91" s="262"/>
      <c r="B91" s="263"/>
      <c r="C91" s="263"/>
      <c r="D91" s="263"/>
      <c r="E91" s="263"/>
      <c r="F91" s="263"/>
      <c r="G91" s="263"/>
      <c r="H91" s="263"/>
      <c r="I91" s="266"/>
      <c r="J91" s="48"/>
      <c r="K91" s="150"/>
      <c r="L91" s="9"/>
      <c r="M91" s="1"/>
      <c r="N91" s="1"/>
      <c r="O91" s="1"/>
    </row>
    <row r="92" spans="1:15" ht="33.75">
      <c r="A92" s="63" t="s">
        <v>215</v>
      </c>
      <c r="B92" s="122">
        <f>B90*3600</f>
        <v>54000</v>
      </c>
      <c r="C92" s="122">
        <f aca="true" t="shared" si="21" ref="C92:I92">C90*3600</f>
        <v>3600</v>
      </c>
      <c r="D92" s="122">
        <f t="shared" si="21"/>
        <v>7200</v>
      </c>
      <c r="E92" s="122">
        <f t="shared" si="21"/>
        <v>3600</v>
      </c>
      <c r="F92" s="122">
        <f t="shared" si="21"/>
        <v>7200</v>
      </c>
      <c r="G92" s="122">
        <f t="shared" si="21"/>
        <v>3600</v>
      </c>
      <c r="H92" s="122">
        <f t="shared" si="21"/>
        <v>7200</v>
      </c>
      <c r="I92" s="88">
        <f t="shared" si="21"/>
        <v>86400</v>
      </c>
      <c r="J92" s="48"/>
      <c r="K92" s="150" t="s">
        <v>119</v>
      </c>
      <c r="L92" s="9"/>
      <c r="M92" s="1"/>
      <c r="N92" s="1"/>
      <c r="O92" s="1"/>
    </row>
    <row r="93" spans="1:15" ht="15.75">
      <c r="A93" s="116"/>
      <c r="B93" s="264"/>
      <c r="C93" s="264"/>
      <c r="D93" s="264"/>
      <c r="E93" s="264"/>
      <c r="F93" s="264"/>
      <c r="G93" s="264"/>
      <c r="H93" s="264"/>
      <c r="I93" s="265"/>
      <c r="J93" s="48"/>
      <c r="L93" s="9"/>
      <c r="M93" s="1"/>
      <c r="N93" s="1"/>
      <c r="O93" s="1"/>
    </row>
    <row r="94" spans="1:15" ht="33.75">
      <c r="A94" s="63" t="s">
        <v>102</v>
      </c>
      <c r="B94" s="64">
        <v>2021</v>
      </c>
      <c r="C94" s="64">
        <v>2022</v>
      </c>
      <c r="D94" s="64">
        <v>2023</v>
      </c>
      <c r="E94" s="64">
        <v>2024</v>
      </c>
      <c r="F94" s="64">
        <v>2025</v>
      </c>
      <c r="G94" s="64">
        <v>2026</v>
      </c>
      <c r="H94" s="64">
        <v>2027</v>
      </c>
      <c r="I94" s="65" t="s">
        <v>0</v>
      </c>
      <c r="J94" s="48"/>
      <c r="K94" s="150"/>
      <c r="L94" s="9"/>
      <c r="M94" s="1"/>
      <c r="N94" s="1"/>
      <c r="O94" s="1"/>
    </row>
    <row r="95" spans="1:15" ht="67.5">
      <c r="A95" s="55" t="s">
        <v>117</v>
      </c>
      <c r="B95" s="64">
        <f>B96+B97</f>
        <v>50</v>
      </c>
      <c r="C95" s="64">
        <f>SUM(C96:C97)</f>
        <v>54</v>
      </c>
      <c r="D95" s="64">
        <f>D96+D97</f>
        <v>60</v>
      </c>
      <c r="E95" s="64">
        <f>SUM(E96:E97)</f>
        <v>64</v>
      </c>
      <c r="F95" s="64">
        <f>F96+F97</f>
        <v>70</v>
      </c>
      <c r="G95" s="64">
        <f>SUM(G96:G97)</f>
        <v>74</v>
      </c>
      <c r="H95" s="64">
        <f>H96+H97</f>
        <v>80</v>
      </c>
      <c r="I95" s="65">
        <f>SUM(B95:H95)</f>
        <v>452</v>
      </c>
      <c r="J95" s="48"/>
      <c r="K95" s="59" t="s">
        <v>20</v>
      </c>
      <c r="L95" s="9"/>
      <c r="M95" s="1"/>
      <c r="N95" s="1"/>
      <c r="O95" s="1"/>
    </row>
    <row r="96" spans="1:15" ht="15.75">
      <c r="A96" s="260" t="s">
        <v>103</v>
      </c>
      <c r="B96" s="261">
        <f>15+10</f>
        <v>25</v>
      </c>
      <c r="C96" s="107">
        <f>16+11</f>
        <v>27</v>
      </c>
      <c r="D96" s="107">
        <f>18+12</f>
        <v>30</v>
      </c>
      <c r="E96" s="107">
        <f>19+13</f>
        <v>32</v>
      </c>
      <c r="F96" s="107">
        <f>21+14</f>
        <v>35</v>
      </c>
      <c r="G96" s="107">
        <f>22+15</f>
        <v>37</v>
      </c>
      <c r="H96" s="107">
        <f>24+16</f>
        <v>40</v>
      </c>
      <c r="I96" s="218">
        <f>SUM(B96:H96)</f>
        <v>226</v>
      </c>
      <c r="J96" s="48"/>
      <c r="K96" s="150"/>
      <c r="L96" s="9"/>
      <c r="M96" s="1"/>
      <c r="N96" s="1"/>
      <c r="O96" s="1"/>
    </row>
    <row r="97" spans="1:15" ht="15.75">
      <c r="A97" s="260" t="s">
        <v>104</v>
      </c>
      <c r="B97" s="261">
        <f>15+10</f>
        <v>25</v>
      </c>
      <c r="C97" s="107">
        <f>16+11</f>
        <v>27</v>
      </c>
      <c r="D97" s="107">
        <f>18+12</f>
        <v>30</v>
      </c>
      <c r="E97" s="107">
        <f>19+13</f>
        <v>32</v>
      </c>
      <c r="F97" s="107">
        <f>21+14</f>
        <v>35</v>
      </c>
      <c r="G97" s="107">
        <f>22+15</f>
        <v>37</v>
      </c>
      <c r="H97" s="107">
        <f>24+16</f>
        <v>40</v>
      </c>
      <c r="I97" s="218">
        <f>SUM(B97:H97)</f>
        <v>226</v>
      </c>
      <c r="J97" s="48"/>
      <c r="K97" s="150"/>
      <c r="L97" s="9"/>
      <c r="M97" s="1"/>
      <c r="N97" s="1"/>
      <c r="O97" s="1"/>
    </row>
    <row r="98" spans="1:15" ht="15.75">
      <c r="A98" s="86"/>
      <c r="B98" s="281"/>
      <c r="C98" s="281"/>
      <c r="D98" s="281"/>
      <c r="E98" s="281"/>
      <c r="F98" s="281"/>
      <c r="G98" s="281"/>
      <c r="H98" s="281"/>
      <c r="I98" s="282"/>
      <c r="J98" s="48"/>
      <c r="K98" s="150"/>
      <c r="L98" s="9"/>
      <c r="M98" s="1"/>
      <c r="N98" s="1"/>
      <c r="O98" s="1"/>
    </row>
    <row r="99" spans="1:15" ht="15.75">
      <c r="A99" s="283"/>
      <c r="B99" s="284"/>
      <c r="C99" s="285"/>
      <c r="D99" s="284"/>
      <c r="E99" s="285"/>
      <c r="F99" s="284"/>
      <c r="G99" s="285"/>
      <c r="H99" s="284"/>
      <c r="I99" s="286"/>
      <c r="J99" s="154"/>
      <c r="K99" s="49"/>
      <c r="L99" s="21"/>
      <c r="M99" s="1"/>
      <c r="N99" s="21"/>
      <c r="O99" s="21"/>
    </row>
    <row r="100" spans="1:15" ht="19.5" customHeight="1">
      <c r="A100" s="192" t="s">
        <v>39</v>
      </c>
      <c r="B100" s="64">
        <v>2021</v>
      </c>
      <c r="C100" s="64">
        <v>2022</v>
      </c>
      <c r="D100" s="64">
        <v>2023</v>
      </c>
      <c r="E100" s="64">
        <v>2024</v>
      </c>
      <c r="F100" s="64">
        <v>2025</v>
      </c>
      <c r="G100" s="64">
        <v>2026</v>
      </c>
      <c r="H100" s="64">
        <v>2027</v>
      </c>
      <c r="I100" s="65" t="s">
        <v>0</v>
      </c>
      <c r="J100" s="154"/>
      <c r="K100" s="49"/>
      <c r="L100" s="21"/>
      <c r="M100" s="1"/>
      <c r="N100" s="21"/>
      <c r="O100" s="21"/>
    </row>
    <row r="101" spans="1:15" ht="16.5">
      <c r="A101" s="105" t="s">
        <v>101</v>
      </c>
      <c r="B101" s="64">
        <v>15</v>
      </c>
      <c r="C101" s="64">
        <v>16</v>
      </c>
      <c r="D101" s="64">
        <v>18</v>
      </c>
      <c r="E101" s="70">
        <v>19</v>
      </c>
      <c r="F101" s="70">
        <v>21</v>
      </c>
      <c r="G101" s="70">
        <v>22</v>
      </c>
      <c r="H101" s="70">
        <v>24</v>
      </c>
      <c r="I101" s="65">
        <f>SUM(B101:H101)</f>
        <v>135</v>
      </c>
      <c r="J101" s="154"/>
      <c r="K101" s="49"/>
      <c r="L101" s="21"/>
      <c r="M101" s="1"/>
      <c r="N101" s="21"/>
      <c r="O101" s="21"/>
    </row>
    <row r="102" spans="1:15" ht="16.5">
      <c r="A102" s="105" t="s">
        <v>98</v>
      </c>
      <c r="B102" s="64">
        <v>10</v>
      </c>
      <c r="C102" s="64">
        <v>11</v>
      </c>
      <c r="D102" s="64">
        <v>12</v>
      </c>
      <c r="E102" s="70">
        <v>13</v>
      </c>
      <c r="F102" s="70">
        <v>14</v>
      </c>
      <c r="G102" s="70">
        <v>15</v>
      </c>
      <c r="H102" s="70">
        <v>16</v>
      </c>
      <c r="I102" s="65">
        <f>SUM(B102:H102)</f>
        <v>91</v>
      </c>
      <c r="J102" s="154"/>
      <c r="K102" s="49"/>
      <c r="L102" s="21"/>
      <c r="M102" s="1"/>
      <c r="N102" s="21"/>
      <c r="O102" s="21"/>
    </row>
    <row r="103" spans="1:15" ht="33.75">
      <c r="A103" s="105" t="s">
        <v>106</v>
      </c>
      <c r="B103" s="107">
        <f>SUM(B101:B102)</f>
        <v>25</v>
      </c>
      <c r="C103" s="107">
        <f aca="true" t="shared" si="22" ref="C103:I103">SUM(C101:C102)</f>
        <v>27</v>
      </c>
      <c r="D103" s="107">
        <f t="shared" si="22"/>
        <v>30</v>
      </c>
      <c r="E103" s="107">
        <f t="shared" si="22"/>
        <v>32</v>
      </c>
      <c r="F103" s="107">
        <f t="shared" si="22"/>
        <v>35</v>
      </c>
      <c r="G103" s="107">
        <f t="shared" si="22"/>
        <v>37</v>
      </c>
      <c r="H103" s="107">
        <f t="shared" si="22"/>
        <v>40</v>
      </c>
      <c r="I103" s="218">
        <f t="shared" si="22"/>
        <v>226</v>
      </c>
      <c r="J103" s="154"/>
      <c r="K103" s="49"/>
      <c r="L103" s="21"/>
      <c r="M103" s="1"/>
      <c r="N103" s="21"/>
      <c r="O103" s="21"/>
    </row>
    <row r="104" spans="1:15" ht="15.75">
      <c r="A104" s="287"/>
      <c r="B104" s="288"/>
      <c r="C104" s="289"/>
      <c r="D104" s="288"/>
      <c r="E104" s="289"/>
      <c r="F104" s="288"/>
      <c r="G104" s="289"/>
      <c r="H104" s="288"/>
      <c r="I104" s="290"/>
      <c r="J104" s="154"/>
      <c r="K104" s="49"/>
      <c r="L104" s="21"/>
      <c r="M104" s="1"/>
      <c r="N104" s="21"/>
      <c r="O104" s="21"/>
    </row>
    <row r="105" spans="1:15" ht="51">
      <c r="A105" s="106" t="s">
        <v>108</v>
      </c>
      <c r="B105" s="64">
        <v>2021</v>
      </c>
      <c r="C105" s="64">
        <v>2022</v>
      </c>
      <c r="D105" s="64">
        <v>2023</v>
      </c>
      <c r="E105" s="64">
        <v>2024</v>
      </c>
      <c r="F105" s="64">
        <v>2025</v>
      </c>
      <c r="G105" s="64">
        <v>2026</v>
      </c>
      <c r="H105" s="64">
        <v>2027</v>
      </c>
      <c r="I105" s="65" t="s">
        <v>0</v>
      </c>
      <c r="J105" s="154"/>
      <c r="K105" s="49"/>
      <c r="L105" s="21"/>
      <c r="M105" s="1"/>
      <c r="N105" s="21"/>
      <c r="O105" s="21"/>
    </row>
    <row r="106" spans="1:15" ht="51">
      <c r="A106" s="106" t="s">
        <v>109</v>
      </c>
      <c r="B106" s="107">
        <v>15</v>
      </c>
      <c r="C106" s="107">
        <v>1</v>
      </c>
      <c r="D106" s="107">
        <v>2</v>
      </c>
      <c r="E106" s="107">
        <v>1</v>
      </c>
      <c r="F106" s="107">
        <v>2</v>
      </c>
      <c r="G106" s="107">
        <v>1</v>
      </c>
      <c r="H106" s="107">
        <v>2</v>
      </c>
      <c r="I106" s="218">
        <f>SUM(B106:H106)</f>
        <v>24</v>
      </c>
      <c r="J106" s="154"/>
      <c r="K106" s="100" t="s">
        <v>112</v>
      </c>
      <c r="L106" s="21"/>
      <c r="M106" s="1"/>
      <c r="N106" s="21"/>
      <c r="O106" s="21"/>
    </row>
    <row r="107" spans="1:15" ht="33.75">
      <c r="A107" s="106" t="s">
        <v>110</v>
      </c>
      <c r="B107" s="107">
        <v>0</v>
      </c>
      <c r="C107" s="107">
        <v>1</v>
      </c>
      <c r="D107" s="107">
        <v>1</v>
      </c>
      <c r="E107" s="107">
        <v>1</v>
      </c>
      <c r="F107" s="107">
        <v>1</v>
      </c>
      <c r="G107" s="107">
        <v>1</v>
      </c>
      <c r="H107" s="107">
        <v>1</v>
      </c>
      <c r="I107" s="218">
        <f>SUM(B107:H107)</f>
        <v>6</v>
      </c>
      <c r="J107" s="154"/>
      <c r="K107" s="49"/>
      <c r="L107" s="21"/>
      <c r="M107" s="1"/>
      <c r="N107" s="21"/>
      <c r="O107" s="21"/>
    </row>
    <row r="108" spans="1:15" ht="33.75">
      <c r="A108" s="105" t="s">
        <v>105</v>
      </c>
      <c r="B108" s="64">
        <f>B106+B107</f>
        <v>15</v>
      </c>
      <c r="C108" s="64">
        <f aca="true" t="shared" si="23" ref="C108:I108">C106+C107</f>
        <v>2</v>
      </c>
      <c r="D108" s="64">
        <f t="shared" si="23"/>
        <v>3</v>
      </c>
      <c r="E108" s="64">
        <f t="shared" si="23"/>
        <v>2</v>
      </c>
      <c r="F108" s="64">
        <f t="shared" si="23"/>
        <v>3</v>
      </c>
      <c r="G108" s="64">
        <f t="shared" si="23"/>
        <v>2</v>
      </c>
      <c r="H108" s="64">
        <f t="shared" si="23"/>
        <v>3</v>
      </c>
      <c r="I108" s="65">
        <f t="shared" si="23"/>
        <v>30</v>
      </c>
      <c r="J108" s="154"/>
      <c r="K108" s="49"/>
      <c r="L108" s="21"/>
      <c r="M108" s="1"/>
      <c r="N108" s="21"/>
      <c r="O108" s="21"/>
    </row>
    <row r="109" spans="1:15" ht="15.75">
      <c r="A109" s="291"/>
      <c r="B109" s="263"/>
      <c r="C109" s="263"/>
      <c r="D109" s="263"/>
      <c r="E109" s="263"/>
      <c r="F109" s="263"/>
      <c r="G109" s="263"/>
      <c r="H109" s="263"/>
      <c r="I109" s="266"/>
      <c r="J109" s="154"/>
      <c r="K109" s="49"/>
      <c r="L109" s="21"/>
      <c r="M109" s="1"/>
      <c r="N109" s="21"/>
      <c r="O109" s="21"/>
    </row>
    <row r="110" spans="1:15" ht="33.75">
      <c r="A110" s="105" t="s">
        <v>186</v>
      </c>
      <c r="B110" s="122">
        <f>B108*3600</f>
        <v>54000</v>
      </c>
      <c r="C110" s="122">
        <f aca="true" t="shared" si="24" ref="C110:H110">C108*3600</f>
        <v>7200</v>
      </c>
      <c r="D110" s="122">
        <f t="shared" si="24"/>
        <v>10800</v>
      </c>
      <c r="E110" s="122">
        <f t="shared" si="24"/>
        <v>7200</v>
      </c>
      <c r="F110" s="122">
        <f t="shared" si="24"/>
        <v>10800</v>
      </c>
      <c r="G110" s="122">
        <f t="shared" si="24"/>
        <v>7200</v>
      </c>
      <c r="H110" s="122">
        <f t="shared" si="24"/>
        <v>10800</v>
      </c>
      <c r="I110" s="88">
        <f>SUM(B110:H110)</f>
        <v>108000</v>
      </c>
      <c r="J110" s="154"/>
      <c r="K110" s="49"/>
      <c r="L110" s="21"/>
      <c r="M110" s="1"/>
      <c r="N110" s="21"/>
      <c r="O110" s="21"/>
    </row>
    <row r="111" spans="1:15" ht="15.75">
      <c r="A111" s="291"/>
      <c r="B111" s="263"/>
      <c r="C111" s="263"/>
      <c r="D111" s="263"/>
      <c r="E111" s="263"/>
      <c r="F111" s="263"/>
      <c r="G111" s="263"/>
      <c r="H111" s="263"/>
      <c r="I111" s="290"/>
      <c r="J111" s="154"/>
      <c r="K111" s="49"/>
      <c r="L111" s="21"/>
      <c r="M111" s="1"/>
      <c r="N111" s="21"/>
      <c r="O111" s="21"/>
    </row>
    <row r="112" spans="1:15" ht="33.75">
      <c r="A112" s="106" t="s">
        <v>102</v>
      </c>
      <c r="B112" s="64">
        <v>2021</v>
      </c>
      <c r="C112" s="64">
        <v>2022</v>
      </c>
      <c r="D112" s="64">
        <v>2023</v>
      </c>
      <c r="E112" s="64">
        <v>2024</v>
      </c>
      <c r="F112" s="64">
        <v>2025</v>
      </c>
      <c r="G112" s="64">
        <v>2026</v>
      </c>
      <c r="H112" s="64">
        <v>2027</v>
      </c>
      <c r="I112" s="65" t="s">
        <v>0</v>
      </c>
      <c r="J112" s="154"/>
      <c r="K112" s="49"/>
      <c r="L112" s="21"/>
      <c r="M112" s="1"/>
      <c r="N112" s="21"/>
      <c r="O112" s="21"/>
    </row>
    <row r="113" spans="1:15" ht="51">
      <c r="A113" s="106" t="s">
        <v>113</v>
      </c>
      <c r="B113" s="107">
        <v>25</v>
      </c>
      <c r="C113" s="107">
        <v>2</v>
      </c>
      <c r="D113" s="107">
        <v>3</v>
      </c>
      <c r="E113" s="107">
        <v>2</v>
      </c>
      <c r="F113" s="107">
        <v>3</v>
      </c>
      <c r="G113" s="107">
        <v>2</v>
      </c>
      <c r="H113" s="107">
        <v>3</v>
      </c>
      <c r="I113" s="218">
        <f>SUM(B113:H113)</f>
        <v>40</v>
      </c>
      <c r="J113" s="154"/>
      <c r="K113" s="100" t="s">
        <v>178</v>
      </c>
      <c r="L113" s="21"/>
      <c r="M113" s="1"/>
      <c r="N113" s="21"/>
      <c r="O113" s="21"/>
    </row>
    <row r="114" spans="1:15" ht="51">
      <c r="A114" s="106" t="s">
        <v>111</v>
      </c>
      <c r="B114" s="107">
        <v>25</v>
      </c>
      <c r="C114" s="107">
        <v>2</v>
      </c>
      <c r="D114" s="107">
        <v>3</v>
      </c>
      <c r="E114" s="107">
        <v>2</v>
      </c>
      <c r="F114" s="107">
        <v>3</v>
      </c>
      <c r="G114" s="107">
        <v>2</v>
      </c>
      <c r="H114" s="107">
        <v>3</v>
      </c>
      <c r="I114" s="218">
        <f>SUM(B114:H114)</f>
        <v>40</v>
      </c>
      <c r="J114" s="154"/>
      <c r="K114" s="100" t="s">
        <v>114</v>
      </c>
      <c r="L114" s="21"/>
      <c r="M114" s="1"/>
      <c r="N114" s="21"/>
      <c r="O114" s="21"/>
    </row>
    <row r="115" spans="1:15" ht="33.75">
      <c r="A115" s="105" t="s">
        <v>115</v>
      </c>
      <c r="B115" s="64">
        <f>SUM(B113:B114)</f>
        <v>50</v>
      </c>
      <c r="C115" s="64">
        <f aca="true" t="shared" si="25" ref="C115:I115">SUM(C113:C114)</f>
        <v>4</v>
      </c>
      <c r="D115" s="64">
        <f t="shared" si="25"/>
        <v>6</v>
      </c>
      <c r="E115" s="64">
        <f t="shared" si="25"/>
        <v>4</v>
      </c>
      <c r="F115" s="64">
        <f t="shared" si="25"/>
        <v>6</v>
      </c>
      <c r="G115" s="64">
        <f t="shared" si="25"/>
        <v>4</v>
      </c>
      <c r="H115" s="64">
        <f t="shared" si="25"/>
        <v>6</v>
      </c>
      <c r="I115" s="65">
        <f t="shared" si="25"/>
        <v>80</v>
      </c>
      <c r="J115" s="154"/>
      <c r="K115" s="49"/>
      <c r="L115" s="21"/>
      <c r="M115" s="1"/>
      <c r="N115" s="21"/>
      <c r="O115" s="21"/>
    </row>
    <row r="116" spans="1:13" ht="15.75">
      <c r="A116" s="283"/>
      <c r="B116" s="284"/>
      <c r="C116" s="284"/>
      <c r="D116" s="284"/>
      <c r="E116" s="284"/>
      <c r="F116" s="284"/>
      <c r="G116" s="284"/>
      <c r="H116" s="285"/>
      <c r="I116" s="286"/>
      <c r="K116" s="49"/>
      <c r="M116" s="1"/>
    </row>
    <row r="117" spans="1:15" ht="15.75">
      <c r="A117" s="192" t="s">
        <v>40</v>
      </c>
      <c r="B117" s="64">
        <v>2021</v>
      </c>
      <c r="C117" s="64">
        <v>2022</v>
      </c>
      <c r="D117" s="64">
        <v>2023</v>
      </c>
      <c r="E117" s="64">
        <v>2024</v>
      </c>
      <c r="F117" s="64">
        <v>2025</v>
      </c>
      <c r="G117" s="64">
        <v>2026</v>
      </c>
      <c r="H117" s="64">
        <v>2027</v>
      </c>
      <c r="I117" s="65" t="s">
        <v>0</v>
      </c>
      <c r="J117" s="154"/>
      <c r="K117" s="49"/>
      <c r="L117" s="21"/>
      <c r="M117" s="1"/>
      <c r="N117" s="1"/>
      <c r="O117" s="1"/>
    </row>
    <row r="118" spans="1:15" ht="67.5">
      <c r="A118" s="105" t="s">
        <v>120</v>
      </c>
      <c r="B118" s="267"/>
      <c r="C118" s="267"/>
      <c r="D118" s="267"/>
      <c r="E118" s="267"/>
      <c r="F118" s="267"/>
      <c r="G118" s="267"/>
      <c r="H118" s="267"/>
      <c r="I118" s="268"/>
      <c r="J118" s="48"/>
      <c r="K118" s="49"/>
      <c r="L118" s="1"/>
      <c r="M118" s="1"/>
      <c r="N118" s="1"/>
      <c r="O118" s="1"/>
    </row>
    <row r="119" spans="1:15" ht="33.75">
      <c r="A119" s="106" t="s">
        <v>121</v>
      </c>
      <c r="B119" s="107">
        <v>0</v>
      </c>
      <c r="C119" s="198">
        <f aca="true" t="shared" si="26" ref="C119:I119">C32</f>
        <v>12</v>
      </c>
      <c r="D119" s="198">
        <f t="shared" si="26"/>
        <v>13</v>
      </c>
      <c r="E119" s="198">
        <f t="shared" si="26"/>
        <v>15</v>
      </c>
      <c r="F119" s="198">
        <f t="shared" si="26"/>
        <v>15</v>
      </c>
      <c r="G119" s="198">
        <f t="shared" si="26"/>
        <v>17</v>
      </c>
      <c r="H119" s="198">
        <f t="shared" si="26"/>
        <v>18</v>
      </c>
      <c r="I119" s="269">
        <f t="shared" si="26"/>
        <v>90</v>
      </c>
      <c r="J119" s="48"/>
      <c r="K119" s="49"/>
      <c r="L119" s="1"/>
      <c r="M119" s="1"/>
      <c r="N119" s="1"/>
      <c r="O119" s="1"/>
    </row>
    <row r="120" spans="1:15" ht="15.75">
      <c r="A120" s="291"/>
      <c r="B120" s="264"/>
      <c r="C120" s="292"/>
      <c r="D120" s="292"/>
      <c r="E120" s="292"/>
      <c r="F120" s="292"/>
      <c r="G120" s="292"/>
      <c r="H120" s="292"/>
      <c r="I120" s="293"/>
      <c r="J120" s="48"/>
      <c r="K120" s="49"/>
      <c r="L120" s="1"/>
      <c r="M120" s="1"/>
      <c r="N120" s="1"/>
      <c r="O120" s="1"/>
    </row>
    <row r="121" spans="1:15" ht="51">
      <c r="A121" s="105" t="s">
        <v>123</v>
      </c>
      <c r="B121" s="64">
        <v>2021</v>
      </c>
      <c r="C121" s="64">
        <v>2022</v>
      </c>
      <c r="D121" s="64">
        <v>2023</v>
      </c>
      <c r="E121" s="64">
        <v>2024</v>
      </c>
      <c r="F121" s="64">
        <v>2025</v>
      </c>
      <c r="G121" s="64">
        <v>2026</v>
      </c>
      <c r="H121" s="64">
        <v>2027</v>
      </c>
      <c r="I121" s="65" t="s">
        <v>0</v>
      </c>
      <c r="J121" s="48"/>
      <c r="K121" s="100" t="s">
        <v>181</v>
      </c>
      <c r="L121" s="1"/>
      <c r="M121" s="1"/>
      <c r="N121" s="1"/>
      <c r="O121" s="1"/>
    </row>
    <row r="122" spans="1:15" ht="16.5">
      <c r="A122" s="106" t="s">
        <v>51</v>
      </c>
      <c r="B122" s="107">
        <v>0</v>
      </c>
      <c r="C122" s="198">
        <v>12</v>
      </c>
      <c r="D122" s="198">
        <v>1</v>
      </c>
      <c r="E122" s="198">
        <v>2</v>
      </c>
      <c r="F122" s="198">
        <v>0</v>
      </c>
      <c r="G122" s="198">
        <v>2</v>
      </c>
      <c r="H122" s="198">
        <v>1</v>
      </c>
      <c r="I122" s="269">
        <f>SUM(B122:H122)</f>
        <v>18</v>
      </c>
      <c r="J122" s="48"/>
      <c r="K122" s="49"/>
      <c r="L122" s="1"/>
      <c r="M122" s="1"/>
      <c r="N122" s="1"/>
      <c r="O122" s="1"/>
    </row>
    <row r="123" spans="1:15" ht="16.5">
      <c r="A123" s="106" t="s">
        <v>43</v>
      </c>
      <c r="B123" s="107">
        <v>0</v>
      </c>
      <c r="C123" s="198">
        <v>12</v>
      </c>
      <c r="D123" s="198">
        <v>1</v>
      </c>
      <c r="E123" s="198">
        <v>2</v>
      </c>
      <c r="F123" s="198">
        <v>0</v>
      </c>
      <c r="G123" s="198">
        <v>2</v>
      </c>
      <c r="H123" s="198">
        <v>1</v>
      </c>
      <c r="I123" s="269">
        <f>SUM(B123:H123)</f>
        <v>18</v>
      </c>
      <c r="J123" s="48"/>
      <c r="K123" s="49"/>
      <c r="L123" s="1"/>
      <c r="M123" s="1"/>
      <c r="N123" s="1"/>
      <c r="O123" s="1"/>
    </row>
    <row r="124" spans="1:15" ht="16.5">
      <c r="A124" s="106" t="s">
        <v>122</v>
      </c>
      <c r="B124" s="107">
        <v>0</v>
      </c>
      <c r="C124" s="198">
        <v>12</v>
      </c>
      <c r="D124" s="198">
        <v>1</v>
      </c>
      <c r="E124" s="198">
        <v>2</v>
      </c>
      <c r="F124" s="198">
        <v>0</v>
      </c>
      <c r="G124" s="198">
        <v>2</v>
      </c>
      <c r="H124" s="198">
        <v>1</v>
      </c>
      <c r="I124" s="269">
        <f>SUM(B124:H124)</f>
        <v>18</v>
      </c>
      <c r="J124" s="48"/>
      <c r="K124" s="49"/>
      <c r="L124" s="1"/>
      <c r="M124" s="1"/>
      <c r="N124" s="1"/>
      <c r="O124" s="1"/>
    </row>
    <row r="125" spans="1:15" ht="16.5">
      <c r="A125" s="106" t="s">
        <v>47</v>
      </c>
      <c r="B125" s="107">
        <v>0</v>
      </c>
      <c r="C125" s="198">
        <v>12</v>
      </c>
      <c r="D125" s="198">
        <v>1</v>
      </c>
      <c r="E125" s="198">
        <v>2</v>
      </c>
      <c r="F125" s="198">
        <v>0</v>
      </c>
      <c r="G125" s="198">
        <v>2</v>
      </c>
      <c r="H125" s="198">
        <v>1</v>
      </c>
      <c r="I125" s="269">
        <f>SUM(B125:H125)</f>
        <v>18</v>
      </c>
      <c r="J125" s="48"/>
      <c r="K125" s="49"/>
      <c r="L125" s="1"/>
      <c r="M125" s="1"/>
      <c r="N125" s="1"/>
      <c r="O125" s="1"/>
    </row>
    <row r="126" spans="1:15" ht="16.5">
      <c r="A126" s="106" t="s">
        <v>49</v>
      </c>
      <c r="B126" s="107">
        <v>0</v>
      </c>
      <c r="C126" s="198">
        <v>12</v>
      </c>
      <c r="D126" s="198">
        <v>1</v>
      </c>
      <c r="E126" s="198">
        <v>2</v>
      </c>
      <c r="F126" s="198">
        <v>0</v>
      </c>
      <c r="G126" s="198">
        <v>2</v>
      </c>
      <c r="H126" s="198">
        <v>1</v>
      </c>
      <c r="I126" s="269">
        <f>SUM(B126:H126)</f>
        <v>18</v>
      </c>
      <c r="J126" s="48"/>
      <c r="K126" s="49"/>
      <c r="L126" s="1"/>
      <c r="M126" s="1"/>
      <c r="N126" s="1"/>
      <c r="O126" s="1"/>
    </row>
    <row r="127" spans="1:15" ht="33.75">
      <c r="A127" s="105" t="s">
        <v>124</v>
      </c>
      <c r="B127" s="64">
        <f>SUM(B122:B126)</f>
        <v>0</v>
      </c>
      <c r="C127" s="64">
        <f aca="true" t="shared" si="27" ref="C127:H127">SUM(C122:C126)</f>
        <v>60</v>
      </c>
      <c r="D127" s="64">
        <f t="shared" si="27"/>
        <v>5</v>
      </c>
      <c r="E127" s="64">
        <f t="shared" si="27"/>
        <v>10</v>
      </c>
      <c r="F127" s="64">
        <f t="shared" si="27"/>
        <v>0</v>
      </c>
      <c r="G127" s="64">
        <f t="shared" si="27"/>
        <v>10</v>
      </c>
      <c r="H127" s="64">
        <f t="shared" si="27"/>
        <v>5</v>
      </c>
      <c r="I127" s="65">
        <f>SUM(I122:I126)</f>
        <v>90</v>
      </c>
      <c r="J127" s="48"/>
      <c r="K127" s="49"/>
      <c r="L127" s="1"/>
      <c r="M127" s="1"/>
      <c r="N127" s="1"/>
      <c r="O127" s="1"/>
    </row>
    <row r="128" spans="1:15" ht="15.75">
      <c r="A128" s="294"/>
      <c r="B128" s="295"/>
      <c r="C128" s="295"/>
      <c r="D128" s="295"/>
      <c r="E128" s="295"/>
      <c r="F128" s="295"/>
      <c r="G128" s="295"/>
      <c r="H128" s="295"/>
      <c r="I128" s="296"/>
      <c r="J128" s="48"/>
      <c r="K128" s="49"/>
      <c r="L128" s="1"/>
      <c r="M128" s="1"/>
      <c r="N128" s="1"/>
      <c r="O128" s="1"/>
    </row>
    <row r="129" spans="1:15" ht="33.75">
      <c r="A129" s="105" t="s">
        <v>187</v>
      </c>
      <c r="B129" s="122">
        <f>B127*840</f>
        <v>0</v>
      </c>
      <c r="C129" s="122">
        <f aca="true" t="shared" si="28" ref="C129:H129">C127*840</f>
        <v>50400</v>
      </c>
      <c r="D129" s="122">
        <f t="shared" si="28"/>
        <v>4200</v>
      </c>
      <c r="E129" s="122">
        <f t="shared" si="28"/>
        <v>8400</v>
      </c>
      <c r="F129" s="122">
        <f t="shared" si="28"/>
        <v>0</v>
      </c>
      <c r="G129" s="122">
        <f t="shared" si="28"/>
        <v>8400</v>
      </c>
      <c r="H129" s="122">
        <f t="shared" si="28"/>
        <v>4200</v>
      </c>
      <c r="I129" s="88">
        <f>SUM(B129:H129)</f>
        <v>75600</v>
      </c>
      <c r="J129" s="48"/>
      <c r="K129" s="49"/>
      <c r="L129" s="1"/>
      <c r="M129" s="1"/>
      <c r="N129" s="1"/>
      <c r="O129" s="1"/>
    </row>
    <row r="130" spans="1:15" ht="15.75">
      <c r="A130" s="235"/>
      <c r="B130" s="264"/>
      <c r="C130" s="292"/>
      <c r="D130" s="292"/>
      <c r="E130" s="292"/>
      <c r="F130" s="292"/>
      <c r="G130" s="292"/>
      <c r="H130" s="292"/>
      <c r="I130" s="293"/>
      <c r="J130" s="48"/>
      <c r="K130" s="49"/>
      <c r="L130" s="1"/>
      <c r="M130" s="1"/>
      <c r="N130" s="1"/>
      <c r="O130" s="1"/>
    </row>
    <row r="131" spans="1:15" ht="16.5">
      <c r="A131" s="105" t="s">
        <v>100</v>
      </c>
      <c r="B131" s="64">
        <v>2021</v>
      </c>
      <c r="C131" s="64">
        <v>2022</v>
      </c>
      <c r="D131" s="64">
        <v>2023</v>
      </c>
      <c r="E131" s="64">
        <v>2024</v>
      </c>
      <c r="F131" s="64">
        <v>2025</v>
      </c>
      <c r="G131" s="64">
        <v>2026</v>
      </c>
      <c r="H131" s="64">
        <v>2027</v>
      </c>
      <c r="I131" s="65" t="s">
        <v>0</v>
      </c>
      <c r="J131" s="48"/>
      <c r="K131" s="49"/>
      <c r="L131" s="1"/>
      <c r="M131" s="1"/>
      <c r="N131" s="1"/>
      <c r="O131" s="1"/>
    </row>
    <row r="132" spans="1:15" ht="15.75">
      <c r="A132" s="187" t="s">
        <v>51</v>
      </c>
      <c r="B132" s="107">
        <v>0</v>
      </c>
      <c r="C132" s="107">
        <v>12</v>
      </c>
      <c r="D132" s="107">
        <f>12+1</f>
        <v>13</v>
      </c>
      <c r="E132" s="107">
        <f>13+2</f>
        <v>15</v>
      </c>
      <c r="F132" s="107">
        <f>E132</f>
        <v>15</v>
      </c>
      <c r="G132" s="107">
        <f>15+2</f>
        <v>17</v>
      </c>
      <c r="H132" s="107">
        <f>17+1</f>
        <v>18</v>
      </c>
      <c r="I132" s="218">
        <f>SUM(B132:H132)</f>
        <v>90</v>
      </c>
      <c r="J132" s="48"/>
      <c r="K132" s="100"/>
      <c r="L132" s="1"/>
      <c r="M132" s="1"/>
      <c r="N132" s="1"/>
      <c r="O132" s="1"/>
    </row>
    <row r="133" spans="1:15" ht="15.75">
      <c r="A133" s="187" t="s">
        <v>42</v>
      </c>
      <c r="B133" s="107">
        <v>0</v>
      </c>
      <c r="C133" s="107">
        <v>12</v>
      </c>
      <c r="D133" s="107">
        <f>12+1</f>
        <v>13</v>
      </c>
      <c r="E133" s="107">
        <f aca="true" t="shared" si="29" ref="E133:E141">13+2</f>
        <v>15</v>
      </c>
      <c r="F133" s="107">
        <f aca="true" t="shared" si="30" ref="F133:F141">E133</f>
        <v>15</v>
      </c>
      <c r="G133" s="107">
        <f aca="true" t="shared" si="31" ref="G133:G141">15+2</f>
        <v>17</v>
      </c>
      <c r="H133" s="107">
        <f aca="true" t="shared" si="32" ref="H133:H141">17+1</f>
        <v>18</v>
      </c>
      <c r="I133" s="218">
        <f aca="true" t="shared" si="33" ref="I133:I141">SUM(B133:H133)</f>
        <v>90</v>
      </c>
      <c r="J133" s="48"/>
      <c r="K133" s="49"/>
      <c r="L133" s="1"/>
      <c r="M133" s="1"/>
      <c r="N133" s="1"/>
      <c r="O133" s="1"/>
    </row>
    <row r="134" spans="1:15" ht="15.75">
      <c r="A134" s="187" t="s">
        <v>43</v>
      </c>
      <c r="B134" s="107">
        <v>0</v>
      </c>
      <c r="C134" s="107">
        <v>12</v>
      </c>
      <c r="D134" s="107">
        <f aca="true" t="shared" si="34" ref="D134:D141">12+1</f>
        <v>13</v>
      </c>
      <c r="E134" s="107">
        <f t="shared" si="29"/>
        <v>15</v>
      </c>
      <c r="F134" s="107">
        <f t="shared" si="30"/>
        <v>15</v>
      </c>
      <c r="G134" s="107">
        <f t="shared" si="31"/>
        <v>17</v>
      </c>
      <c r="H134" s="107">
        <f t="shared" si="32"/>
        <v>18</v>
      </c>
      <c r="I134" s="218">
        <f t="shared" si="33"/>
        <v>90</v>
      </c>
      <c r="J134" s="48"/>
      <c r="K134" s="49"/>
      <c r="L134" s="1"/>
      <c r="M134" s="1"/>
      <c r="N134" s="1"/>
      <c r="O134" s="1"/>
    </row>
    <row r="135" spans="1:15" ht="15.75">
      <c r="A135" s="187" t="s">
        <v>44</v>
      </c>
      <c r="B135" s="107">
        <v>0</v>
      </c>
      <c r="C135" s="107">
        <v>12</v>
      </c>
      <c r="D135" s="107">
        <f t="shared" si="34"/>
        <v>13</v>
      </c>
      <c r="E135" s="107">
        <f t="shared" si="29"/>
        <v>15</v>
      </c>
      <c r="F135" s="107">
        <f t="shared" si="30"/>
        <v>15</v>
      </c>
      <c r="G135" s="107">
        <f t="shared" si="31"/>
        <v>17</v>
      </c>
      <c r="H135" s="107">
        <f t="shared" si="32"/>
        <v>18</v>
      </c>
      <c r="I135" s="218">
        <f t="shared" si="33"/>
        <v>90</v>
      </c>
      <c r="J135" s="48"/>
      <c r="K135" s="49"/>
      <c r="L135" s="1"/>
      <c r="M135" s="1"/>
      <c r="N135" s="1"/>
      <c r="O135" s="1"/>
    </row>
    <row r="136" spans="1:15" ht="15.75">
      <c r="A136" s="187" t="s">
        <v>45</v>
      </c>
      <c r="B136" s="107">
        <v>0</v>
      </c>
      <c r="C136" s="107">
        <v>12</v>
      </c>
      <c r="D136" s="107">
        <f t="shared" si="34"/>
        <v>13</v>
      </c>
      <c r="E136" s="107">
        <f t="shared" si="29"/>
        <v>15</v>
      </c>
      <c r="F136" s="107">
        <f t="shared" si="30"/>
        <v>15</v>
      </c>
      <c r="G136" s="107">
        <f t="shared" si="31"/>
        <v>17</v>
      </c>
      <c r="H136" s="107">
        <f t="shared" si="32"/>
        <v>18</v>
      </c>
      <c r="I136" s="218">
        <f t="shared" si="33"/>
        <v>90</v>
      </c>
      <c r="J136" s="48"/>
      <c r="K136" s="49"/>
      <c r="L136" s="1"/>
      <c r="M136" s="1"/>
      <c r="N136" s="1"/>
      <c r="O136" s="1"/>
    </row>
    <row r="137" spans="1:15" ht="15.75">
      <c r="A137" s="187" t="s">
        <v>46</v>
      </c>
      <c r="B137" s="107">
        <v>0</v>
      </c>
      <c r="C137" s="107">
        <v>12</v>
      </c>
      <c r="D137" s="107">
        <f t="shared" si="34"/>
        <v>13</v>
      </c>
      <c r="E137" s="107">
        <f t="shared" si="29"/>
        <v>15</v>
      </c>
      <c r="F137" s="107">
        <f t="shared" si="30"/>
        <v>15</v>
      </c>
      <c r="G137" s="107">
        <f t="shared" si="31"/>
        <v>17</v>
      </c>
      <c r="H137" s="107">
        <f t="shared" si="32"/>
        <v>18</v>
      </c>
      <c r="I137" s="218">
        <f t="shared" si="33"/>
        <v>90</v>
      </c>
      <c r="J137" s="48"/>
      <c r="K137" s="49"/>
      <c r="L137" s="1"/>
      <c r="M137" s="1"/>
      <c r="N137" s="1"/>
      <c r="O137" s="1"/>
    </row>
    <row r="138" spans="1:15" ht="15.75">
      <c r="A138" s="187" t="s">
        <v>47</v>
      </c>
      <c r="B138" s="107">
        <v>0</v>
      </c>
      <c r="C138" s="107">
        <v>12</v>
      </c>
      <c r="D138" s="107">
        <f t="shared" si="34"/>
        <v>13</v>
      </c>
      <c r="E138" s="107">
        <f t="shared" si="29"/>
        <v>15</v>
      </c>
      <c r="F138" s="107">
        <f t="shared" si="30"/>
        <v>15</v>
      </c>
      <c r="G138" s="107">
        <f t="shared" si="31"/>
        <v>17</v>
      </c>
      <c r="H138" s="107">
        <f t="shared" si="32"/>
        <v>18</v>
      </c>
      <c r="I138" s="218">
        <f t="shared" si="33"/>
        <v>90</v>
      </c>
      <c r="J138" s="48"/>
      <c r="K138" s="49"/>
      <c r="L138" s="1"/>
      <c r="M138" s="1"/>
      <c r="N138" s="1"/>
      <c r="O138" s="1"/>
    </row>
    <row r="139" spans="1:15" ht="15.75">
      <c r="A139" s="187" t="s">
        <v>48</v>
      </c>
      <c r="B139" s="107">
        <v>0</v>
      </c>
      <c r="C139" s="107">
        <v>12</v>
      </c>
      <c r="D139" s="107">
        <f t="shared" si="34"/>
        <v>13</v>
      </c>
      <c r="E139" s="107">
        <f t="shared" si="29"/>
        <v>15</v>
      </c>
      <c r="F139" s="107">
        <f t="shared" si="30"/>
        <v>15</v>
      </c>
      <c r="G139" s="107">
        <f t="shared" si="31"/>
        <v>17</v>
      </c>
      <c r="H139" s="107">
        <f t="shared" si="32"/>
        <v>18</v>
      </c>
      <c r="I139" s="218">
        <f t="shared" si="33"/>
        <v>90</v>
      </c>
      <c r="J139" s="48"/>
      <c r="K139" s="49"/>
      <c r="L139" s="1"/>
      <c r="M139" s="1"/>
      <c r="N139" s="1"/>
      <c r="O139" s="1"/>
    </row>
    <row r="140" spans="1:15" ht="15.75">
      <c r="A140" s="187" t="s">
        <v>49</v>
      </c>
      <c r="B140" s="107">
        <v>0</v>
      </c>
      <c r="C140" s="107">
        <v>12</v>
      </c>
      <c r="D140" s="107">
        <f t="shared" si="34"/>
        <v>13</v>
      </c>
      <c r="E140" s="107">
        <f t="shared" si="29"/>
        <v>15</v>
      </c>
      <c r="F140" s="107">
        <f t="shared" si="30"/>
        <v>15</v>
      </c>
      <c r="G140" s="107">
        <f t="shared" si="31"/>
        <v>17</v>
      </c>
      <c r="H140" s="107">
        <f t="shared" si="32"/>
        <v>18</v>
      </c>
      <c r="I140" s="218">
        <f t="shared" si="33"/>
        <v>90</v>
      </c>
      <c r="J140" s="48"/>
      <c r="K140" s="49"/>
      <c r="L140" s="1"/>
      <c r="M140" s="1"/>
      <c r="N140" s="1"/>
      <c r="O140" s="1"/>
    </row>
    <row r="141" spans="1:15" ht="15.75">
      <c r="A141" s="187" t="s">
        <v>50</v>
      </c>
      <c r="B141" s="107">
        <v>0</v>
      </c>
      <c r="C141" s="107">
        <v>12</v>
      </c>
      <c r="D141" s="107">
        <f t="shared" si="34"/>
        <v>13</v>
      </c>
      <c r="E141" s="107">
        <f t="shared" si="29"/>
        <v>15</v>
      </c>
      <c r="F141" s="107">
        <f t="shared" si="30"/>
        <v>15</v>
      </c>
      <c r="G141" s="107">
        <f t="shared" si="31"/>
        <v>17</v>
      </c>
      <c r="H141" s="107">
        <f t="shared" si="32"/>
        <v>18</v>
      </c>
      <c r="I141" s="218">
        <f t="shared" si="33"/>
        <v>90</v>
      </c>
      <c r="J141" s="48"/>
      <c r="K141" s="49"/>
      <c r="L141" s="1"/>
      <c r="M141" s="1"/>
      <c r="N141" s="1"/>
      <c r="O141" s="1"/>
    </row>
    <row r="142" spans="1:15" ht="33.75">
      <c r="A142" s="105" t="s">
        <v>125</v>
      </c>
      <c r="B142" s="64">
        <f>SUM(B132:B141)</f>
        <v>0</v>
      </c>
      <c r="C142" s="64">
        <f aca="true" t="shared" si="35" ref="C142:I142">SUM(C132:C141)</f>
        <v>120</v>
      </c>
      <c r="D142" s="64">
        <f t="shared" si="35"/>
        <v>130</v>
      </c>
      <c r="E142" s="64">
        <f t="shared" si="35"/>
        <v>150</v>
      </c>
      <c r="F142" s="64">
        <f t="shared" si="35"/>
        <v>150</v>
      </c>
      <c r="G142" s="64">
        <f t="shared" si="35"/>
        <v>170</v>
      </c>
      <c r="H142" s="64">
        <f t="shared" si="35"/>
        <v>180</v>
      </c>
      <c r="I142" s="65">
        <f t="shared" si="35"/>
        <v>900</v>
      </c>
      <c r="J142" s="48"/>
      <c r="K142" s="100" t="s">
        <v>179</v>
      </c>
      <c r="L142" s="1"/>
      <c r="M142" s="1"/>
      <c r="N142" s="1"/>
      <c r="O142" s="1"/>
    </row>
    <row r="143" spans="1:15" ht="15.75">
      <c r="A143" s="297"/>
      <c r="B143" s="285"/>
      <c r="C143" s="285"/>
      <c r="D143" s="285"/>
      <c r="E143" s="285"/>
      <c r="F143" s="285"/>
      <c r="G143" s="285"/>
      <c r="H143" s="285"/>
      <c r="I143" s="286"/>
      <c r="J143" s="48"/>
      <c r="K143" s="49"/>
      <c r="L143" s="1"/>
      <c r="M143" s="1"/>
      <c r="N143" s="1"/>
      <c r="O143" s="1"/>
    </row>
    <row r="144" spans="1:13" ht="15.75">
      <c r="A144" s="192" t="s">
        <v>41</v>
      </c>
      <c r="B144" s="64">
        <v>2021</v>
      </c>
      <c r="C144" s="64">
        <v>2022</v>
      </c>
      <c r="D144" s="64">
        <v>2023</v>
      </c>
      <c r="E144" s="64">
        <v>2024</v>
      </c>
      <c r="F144" s="64">
        <v>2025</v>
      </c>
      <c r="G144" s="64">
        <v>2026</v>
      </c>
      <c r="H144" s="64">
        <v>2027</v>
      </c>
      <c r="I144" s="65" t="s">
        <v>0</v>
      </c>
      <c r="K144" s="49"/>
      <c r="M144" s="1"/>
    </row>
    <row r="145" spans="1:13" ht="15.75">
      <c r="A145" s="192" t="s">
        <v>126</v>
      </c>
      <c r="B145" s="107">
        <v>0</v>
      </c>
      <c r="C145" s="107">
        <v>0</v>
      </c>
      <c r="D145" s="108">
        <f aca="true" t="shared" si="36" ref="D145:I145">D44</f>
        <v>6</v>
      </c>
      <c r="E145" s="108">
        <f t="shared" si="36"/>
        <v>6</v>
      </c>
      <c r="F145" s="108">
        <f t="shared" si="36"/>
        <v>7</v>
      </c>
      <c r="G145" s="108">
        <f t="shared" si="36"/>
        <v>7</v>
      </c>
      <c r="H145" s="108">
        <f t="shared" si="36"/>
        <v>8</v>
      </c>
      <c r="I145" s="270">
        <f t="shared" si="36"/>
        <v>34</v>
      </c>
      <c r="K145" s="49"/>
      <c r="M145" s="1"/>
    </row>
    <row r="146" spans="1:13" ht="15.75">
      <c r="A146" s="287"/>
      <c r="B146" s="264"/>
      <c r="C146" s="264"/>
      <c r="D146" s="264"/>
      <c r="E146" s="264"/>
      <c r="F146" s="264"/>
      <c r="G146" s="264"/>
      <c r="H146" s="264"/>
      <c r="I146" s="265"/>
      <c r="K146" s="49"/>
      <c r="M146" s="1"/>
    </row>
    <row r="147" spans="1:13" ht="33.75">
      <c r="A147" s="105" t="s">
        <v>127</v>
      </c>
      <c r="B147" s="64">
        <v>2021</v>
      </c>
      <c r="C147" s="64">
        <v>2022</v>
      </c>
      <c r="D147" s="64">
        <v>2023</v>
      </c>
      <c r="E147" s="64">
        <v>2024</v>
      </c>
      <c r="F147" s="64">
        <v>2025</v>
      </c>
      <c r="G147" s="64">
        <v>2026</v>
      </c>
      <c r="H147" s="64">
        <v>2027</v>
      </c>
      <c r="I147" s="65" t="s">
        <v>0</v>
      </c>
      <c r="K147" s="49"/>
      <c r="M147" s="1"/>
    </row>
    <row r="148" spans="1:13" ht="118.5">
      <c r="A148" s="187" t="s">
        <v>128</v>
      </c>
      <c r="B148" s="107">
        <v>0</v>
      </c>
      <c r="C148" s="107">
        <v>0</v>
      </c>
      <c r="D148" s="107">
        <v>6</v>
      </c>
      <c r="E148" s="107">
        <v>0</v>
      </c>
      <c r="F148" s="107">
        <v>1</v>
      </c>
      <c r="G148" s="107">
        <v>0</v>
      </c>
      <c r="H148" s="107">
        <v>1</v>
      </c>
      <c r="I148" s="218">
        <f>SUM(B148:H148)</f>
        <v>8</v>
      </c>
      <c r="K148" s="100" t="s">
        <v>131</v>
      </c>
      <c r="M148" s="1"/>
    </row>
    <row r="149" spans="1:13" ht="51">
      <c r="A149" s="187" t="s">
        <v>130</v>
      </c>
      <c r="B149" s="107">
        <v>0</v>
      </c>
      <c r="C149" s="107">
        <v>0</v>
      </c>
      <c r="D149" s="107" t="s">
        <v>132</v>
      </c>
      <c r="E149" s="66" t="s">
        <v>133</v>
      </c>
      <c r="F149" s="107">
        <v>1</v>
      </c>
      <c r="G149" s="107">
        <v>0</v>
      </c>
      <c r="H149" s="107">
        <v>1</v>
      </c>
      <c r="I149" s="218">
        <v>2</v>
      </c>
      <c r="K149" s="100" t="s">
        <v>180</v>
      </c>
      <c r="M149" s="1"/>
    </row>
    <row r="150" spans="1:13" ht="15.75">
      <c r="A150" s="192" t="s">
        <v>4</v>
      </c>
      <c r="B150" s="64">
        <f>SUM(B148:B149)</f>
        <v>0</v>
      </c>
      <c r="C150" s="64">
        <f>SUM(C148:C149)</f>
        <v>0</v>
      </c>
      <c r="D150" s="64">
        <f>D148</f>
        <v>6</v>
      </c>
      <c r="E150" s="70">
        <f>E148</f>
        <v>0</v>
      </c>
      <c r="F150" s="64">
        <f>SUM(F148:F149)</f>
        <v>2</v>
      </c>
      <c r="G150" s="64">
        <f>SUM(G148:G149)</f>
        <v>0</v>
      </c>
      <c r="H150" s="64">
        <f>SUM(H148:H149)</f>
        <v>2</v>
      </c>
      <c r="I150" s="65">
        <f>SUM(D150:H150)</f>
        <v>10</v>
      </c>
      <c r="K150" s="100"/>
      <c r="M150" s="1"/>
    </row>
    <row r="151" spans="1:13" ht="15.75">
      <c r="A151" s="287"/>
      <c r="B151" s="263"/>
      <c r="C151" s="263"/>
      <c r="D151" s="263"/>
      <c r="E151" s="298"/>
      <c r="F151" s="263"/>
      <c r="G151" s="263"/>
      <c r="H151" s="263"/>
      <c r="I151" s="266"/>
      <c r="K151" s="100"/>
      <c r="M151" s="1"/>
    </row>
    <row r="152" spans="1:13" ht="33.75">
      <c r="A152" s="105" t="s">
        <v>188</v>
      </c>
      <c r="B152" s="122">
        <f>3600*B150</f>
        <v>0</v>
      </c>
      <c r="C152" s="122">
        <f aca="true" t="shared" si="37" ref="C152:H152">3600*C150</f>
        <v>0</v>
      </c>
      <c r="D152" s="122">
        <f t="shared" si="37"/>
        <v>21600</v>
      </c>
      <c r="E152" s="122">
        <f t="shared" si="37"/>
        <v>0</v>
      </c>
      <c r="F152" s="122">
        <f t="shared" si="37"/>
        <v>7200</v>
      </c>
      <c r="G152" s="122">
        <f t="shared" si="37"/>
        <v>0</v>
      </c>
      <c r="H152" s="122">
        <f t="shared" si="37"/>
        <v>7200</v>
      </c>
      <c r="I152" s="88">
        <f>SUM(B152:H152)</f>
        <v>36000</v>
      </c>
      <c r="K152" s="100"/>
      <c r="M152" s="1"/>
    </row>
    <row r="153" spans="1:13" ht="15.75">
      <c r="A153" s="287"/>
      <c r="B153" s="264"/>
      <c r="C153" s="264"/>
      <c r="D153" s="264"/>
      <c r="E153" s="264"/>
      <c r="F153" s="264"/>
      <c r="G153" s="264"/>
      <c r="H153" s="264"/>
      <c r="I153" s="265"/>
      <c r="K153" s="49"/>
      <c r="M153" s="1"/>
    </row>
    <row r="154" spans="1:13" ht="33.75">
      <c r="A154" s="105" t="s">
        <v>129</v>
      </c>
      <c r="B154" s="64">
        <v>2021</v>
      </c>
      <c r="C154" s="64">
        <v>2022</v>
      </c>
      <c r="D154" s="64">
        <v>2023</v>
      </c>
      <c r="E154" s="64">
        <v>2024</v>
      </c>
      <c r="F154" s="64">
        <v>2025</v>
      </c>
      <c r="G154" s="64">
        <v>2026</v>
      </c>
      <c r="H154" s="64">
        <v>2027</v>
      </c>
      <c r="I154" s="65" t="s">
        <v>0</v>
      </c>
      <c r="K154" s="49"/>
      <c r="M154" s="1"/>
    </row>
    <row r="155" spans="1:13" ht="15.75">
      <c r="A155" s="187" t="s">
        <v>128</v>
      </c>
      <c r="B155" s="107">
        <v>0</v>
      </c>
      <c r="C155" s="107">
        <v>0</v>
      </c>
      <c r="D155" s="107">
        <v>6</v>
      </c>
      <c r="E155" s="107">
        <v>0</v>
      </c>
      <c r="F155" s="107">
        <v>1</v>
      </c>
      <c r="G155" s="107">
        <v>0</v>
      </c>
      <c r="H155" s="107">
        <v>1</v>
      </c>
      <c r="I155" s="218">
        <f>SUM(B155:H155)</f>
        <v>8</v>
      </c>
      <c r="K155" s="49"/>
      <c r="M155" s="1"/>
    </row>
    <row r="156" spans="1:13" ht="15.75">
      <c r="A156" s="187" t="s">
        <v>130</v>
      </c>
      <c r="B156" s="107">
        <v>0</v>
      </c>
      <c r="C156" s="107">
        <v>0</v>
      </c>
      <c r="D156" s="107">
        <v>6</v>
      </c>
      <c r="E156" s="107">
        <v>0</v>
      </c>
      <c r="F156" s="107">
        <v>1</v>
      </c>
      <c r="G156" s="107">
        <v>0</v>
      </c>
      <c r="H156" s="107">
        <v>1</v>
      </c>
      <c r="I156" s="218">
        <f>SUM(B156:H156)</f>
        <v>8</v>
      </c>
      <c r="K156" s="49"/>
      <c r="M156" s="1"/>
    </row>
    <row r="157" spans="1:13" ht="15.75">
      <c r="A157" s="192" t="s">
        <v>4</v>
      </c>
      <c r="B157" s="64">
        <f>SUM(B155:B156)</f>
        <v>0</v>
      </c>
      <c r="C157" s="64">
        <f aca="true" t="shared" si="38" ref="C157:I157">SUM(C155:C156)</f>
        <v>0</v>
      </c>
      <c r="D157" s="64">
        <f t="shared" si="38"/>
        <v>12</v>
      </c>
      <c r="E157" s="64">
        <f t="shared" si="38"/>
        <v>0</v>
      </c>
      <c r="F157" s="64">
        <f t="shared" si="38"/>
        <v>2</v>
      </c>
      <c r="G157" s="64">
        <f t="shared" si="38"/>
        <v>0</v>
      </c>
      <c r="H157" s="64">
        <f t="shared" si="38"/>
        <v>2</v>
      </c>
      <c r="I157" s="65">
        <f t="shared" si="38"/>
        <v>16</v>
      </c>
      <c r="K157" s="49"/>
      <c r="M157" s="1"/>
    </row>
    <row r="158" spans="1:15" ht="15.75">
      <c r="A158" s="271"/>
      <c r="B158" s="249"/>
      <c r="C158" s="249"/>
      <c r="D158" s="249"/>
      <c r="E158" s="249"/>
      <c r="F158" s="249"/>
      <c r="G158" s="249"/>
      <c r="H158" s="249"/>
      <c r="I158" s="272"/>
      <c r="J158" s="48"/>
      <c r="K158" s="49"/>
      <c r="L158" s="1"/>
      <c r="M158" s="1"/>
      <c r="N158" s="1"/>
      <c r="O158" s="1"/>
    </row>
    <row r="159" spans="1:15" ht="67.5">
      <c r="A159" s="262" t="s">
        <v>242</v>
      </c>
      <c r="B159" s="358">
        <f aca="true" t="shared" si="39" ref="B159:H159">15%*(B152+B129+B110+B92)</f>
        <v>16200</v>
      </c>
      <c r="C159" s="358">
        <f t="shared" si="39"/>
        <v>9180</v>
      </c>
      <c r="D159" s="358">
        <f t="shared" si="39"/>
        <v>6570</v>
      </c>
      <c r="E159" s="358">
        <f t="shared" si="39"/>
        <v>2880</v>
      </c>
      <c r="F159" s="358">
        <f t="shared" si="39"/>
        <v>3780</v>
      </c>
      <c r="G159" s="358">
        <f t="shared" si="39"/>
        <v>2880</v>
      </c>
      <c r="H159" s="358">
        <f t="shared" si="39"/>
        <v>4410</v>
      </c>
      <c r="I159" s="359">
        <f>SUM(B159:H159)</f>
        <v>45900</v>
      </c>
      <c r="J159" s="48"/>
      <c r="K159" s="49"/>
      <c r="L159" s="1"/>
      <c r="M159" s="1"/>
      <c r="N159" s="1"/>
      <c r="O159" s="1"/>
    </row>
    <row r="160" spans="1:15" ht="33.75">
      <c r="A160" s="275" t="s">
        <v>195</v>
      </c>
      <c r="B160" s="273">
        <f aca="true" t="shared" si="40" ref="B160:I160">B90+B108+B127+B150+B75</f>
        <v>45</v>
      </c>
      <c r="C160" s="273">
        <f t="shared" si="40"/>
        <v>81.75</v>
      </c>
      <c r="D160" s="273">
        <f t="shared" si="40"/>
        <v>38.5</v>
      </c>
      <c r="E160" s="273">
        <f t="shared" si="40"/>
        <v>39.25</v>
      </c>
      <c r="F160" s="273">
        <f t="shared" si="40"/>
        <v>33.25</v>
      </c>
      <c r="G160" s="273">
        <f t="shared" si="40"/>
        <v>39.25</v>
      </c>
      <c r="H160" s="273">
        <f t="shared" si="40"/>
        <v>38.25</v>
      </c>
      <c r="I160" s="276">
        <f t="shared" si="40"/>
        <v>315.25</v>
      </c>
      <c r="J160" s="48"/>
      <c r="K160" s="49"/>
      <c r="L160" s="1"/>
      <c r="M160" s="1"/>
      <c r="N160" s="1"/>
      <c r="O160" s="1"/>
    </row>
    <row r="161" spans="1:15" ht="51">
      <c r="A161" s="275" t="s">
        <v>196</v>
      </c>
      <c r="B161" s="274">
        <f aca="true" t="shared" si="41" ref="B161:H161">B157+B142+B115+B95</f>
        <v>100</v>
      </c>
      <c r="C161" s="274">
        <f t="shared" si="41"/>
        <v>178</v>
      </c>
      <c r="D161" s="274">
        <f t="shared" si="41"/>
        <v>208</v>
      </c>
      <c r="E161" s="274">
        <f t="shared" si="41"/>
        <v>218</v>
      </c>
      <c r="F161" s="274">
        <f t="shared" si="41"/>
        <v>228</v>
      </c>
      <c r="G161" s="274">
        <f t="shared" si="41"/>
        <v>248</v>
      </c>
      <c r="H161" s="274">
        <f t="shared" si="41"/>
        <v>268</v>
      </c>
      <c r="I161" s="277">
        <f>SUM(B161:H161)</f>
        <v>1448</v>
      </c>
      <c r="J161" s="48"/>
      <c r="K161" s="49"/>
      <c r="L161" s="1"/>
      <c r="M161" s="1"/>
      <c r="N161" s="1"/>
      <c r="O161" s="1"/>
    </row>
    <row r="162" spans="1:15" ht="16.5">
      <c r="A162" s="299" t="s">
        <v>197</v>
      </c>
      <c r="B162" s="300">
        <f aca="true" t="shared" si="42" ref="B162:H162">B157+B115</f>
        <v>50</v>
      </c>
      <c r="C162" s="300">
        <f t="shared" si="42"/>
        <v>4</v>
      </c>
      <c r="D162" s="300">
        <f t="shared" si="42"/>
        <v>18</v>
      </c>
      <c r="E162" s="300">
        <f t="shared" si="42"/>
        <v>4</v>
      </c>
      <c r="F162" s="300">
        <f t="shared" si="42"/>
        <v>8</v>
      </c>
      <c r="G162" s="300">
        <f t="shared" si="42"/>
        <v>4</v>
      </c>
      <c r="H162" s="300">
        <f t="shared" si="42"/>
        <v>8</v>
      </c>
      <c r="I162" s="301">
        <f>SUM(B162:H162)</f>
        <v>96</v>
      </c>
      <c r="J162" s="48"/>
      <c r="K162" s="49"/>
      <c r="L162" s="1"/>
      <c r="M162" s="1"/>
      <c r="N162" s="1"/>
      <c r="O162" s="1"/>
    </row>
    <row r="163" spans="1:15" ht="16.5">
      <c r="A163" s="299" t="s">
        <v>198</v>
      </c>
      <c r="B163" s="300">
        <f aca="true" t="shared" si="43" ref="B163:H163">B142+B95</f>
        <v>50</v>
      </c>
      <c r="C163" s="300">
        <f t="shared" si="43"/>
        <v>174</v>
      </c>
      <c r="D163" s="300">
        <f t="shared" si="43"/>
        <v>190</v>
      </c>
      <c r="E163" s="300">
        <f t="shared" si="43"/>
        <v>214</v>
      </c>
      <c r="F163" s="300">
        <f t="shared" si="43"/>
        <v>220</v>
      </c>
      <c r="G163" s="300">
        <f t="shared" si="43"/>
        <v>244</v>
      </c>
      <c r="H163" s="300">
        <f t="shared" si="43"/>
        <v>260</v>
      </c>
      <c r="I163" s="301">
        <f>SUM(B163:H163)</f>
        <v>1352</v>
      </c>
      <c r="J163" s="48"/>
      <c r="K163" s="49"/>
      <c r="L163" s="1"/>
      <c r="M163" s="1"/>
      <c r="N163" s="1"/>
      <c r="O163" s="1"/>
    </row>
    <row r="164" spans="1:14" ht="34.5" thickBot="1">
      <c r="A164" s="278" t="s">
        <v>194</v>
      </c>
      <c r="B164" s="279">
        <f>B77+B92+B110+B129+B152</f>
        <v>248000</v>
      </c>
      <c r="C164" s="279">
        <f aca="true" t="shared" si="44" ref="C164:H164">C77+C92+C110+C129+C152</f>
        <v>236200</v>
      </c>
      <c r="D164" s="279">
        <f t="shared" si="44"/>
        <v>253800</v>
      </c>
      <c r="E164" s="279">
        <f t="shared" si="44"/>
        <v>264200</v>
      </c>
      <c r="F164" s="279">
        <f t="shared" si="44"/>
        <v>270200</v>
      </c>
      <c r="G164" s="279">
        <f t="shared" si="44"/>
        <v>264200</v>
      </c>
      <c r="H164" s="279">
        <f t="shared" si="44"/>
        <v>274400</v>
      </c>
      <c r="I164" s="280">
        <f>SUM(B164:H164)</f>
        <v>1811000</v>
      </c>
      <c r="J164" s="48"/>
      <c r="K164" s="49"/>
      <c r="L164" s="1"/>
      <c r="M164" s="1"/>
      <c r="N164" s="1"/>
    </row>
    <row r="165" spans="1:15" ht="15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9"/>
      <c r="L165" s="1"/>
      <c r="M165" s="1"/>
      <c r="N165" s="1"/>
      <c r="O165" s="1"/>
    </row>
    <row r="166" ht="16.5" thickBot="1"/>
    <row r="167" spans="1:10" ht="24.75" thickBot="1">
      <c r="A167" s="441" t="s">
        <v>224</v>
      </c>
      <c r="B167" s="442"/>
      <c r="C167" s="442"/>
      <c r="D167" s="442"/>
      <c r="E167" s="442"/>
      <c r="F167" s="442"/>
      <c r="G167" s="442"/>
      <c r="H167" s="443"/>
      <c r="I167" s="132"/>
      <c r="J167" s="132"/>
    </row>
    <row r="168" spans="1:10" ht="42.75" customHeight="1" thickBot="1">
      <c r="A168" s="452" t="s">
        <v>134</v>
      </c>
      <c r="B168" s="453"/>
      <c r="C168" s="453"/>
      <c r="D168" s="453"/>
      <c r="E168" s="453"/>
      <c r="F168" s="453"/>
      <c r="G168" s="453"/>
      <c r="H168" s="454"/>
      <c r="I168" s="191"/>
      <c r="J168" s="139"/>
    </row>
    <row r="169" spans="1:10" ht="21" customHeight="1" thickBot="1">
      <c r="A169" s="103"/>
      <c r="B169" s="434" t="s">
        <v>135</v>
      </c>
      <c r="C169" s="435"/>
      <c r="D169" s="435"/>
      <c r="E169" s="435"/>
      <c r="F169" s="436"/>
      <c r="G169" s="434" t="s">
        <v>136</v>
      </c>
      <c r="H169" s="436"/>
      <c r="I169" s="191"/>
      <c r="J169" s="139"/>
    </row>
    <row r="170" spans="1:10" ht="16.5" thickBot="1">
      <c r="A170" s="294"/>
      <c r="B170" s="447"/>
      <c r="C170" s="448"/>
      <c r="D170" s="448"/>
      <c r="E170" s="448"/>
      <c r="F170" s="449"/>
      <c r="G170" s="450"/>
      <c r="H170" s="451"/>
      <c r="I170" s="191"/>
      <c r="J170" s="139"/>
    </row>
    <row r="171" spans="1:10" ht="18" thickBot="1">
      <c r="A171" s="357" t="s">
        <v>39</v>
      </c>
      <c r="B171" s="353"/>
      <c r="C171" s="354"/>
      <c r="D171" s="354"/>
      <c r="E171" s="354"/>
      <c r="F171" s="355"/>
      <c r="G171" s="455"/>
      <c r="H171" s="456"/>
      <c r="I171" s="191"/>
      <c r="J171" s="139"/>
    </row>
    <row r="172" spans="1:9" ht="16.5">
      <c r="A172" s="356" t="s">
        <v>5</v>
      </c>
      <c r="B172" s="444">
        <f>50%*SUM(B16:F16)</f>
        <v>4450000</v>
      </c>
      <c r="C172" s="445"/>
      <c r="D172" s="445"/>
      <c r="E172" s="445"/>
      <c r="F172" s="446"/>
      <c r="G172" s="457">
        <f>50%*SUM(B16:H16)</f>
        <v>6750000</v>
      </c>
      <c r="H172" s="458"/>
      <c r="I172" s="191"/>
    </row>
    <row r="173" spans="1:9" ht="33.75">
      <c r="A173" s="209" t="s">
        <v>157</v>
      </c>
      <c r="B173" s="459">
        <f>15%*B172</f>
        <v>667500</v>
      </c>
      <c r="C173" s="385"/>
      <c r="D173" s="385"/>
      <c r="E173" s="385"/>
      <c r="F173" s="208">
        <f aca="true" t="shared" si="45" ref="F173:F178">B173/5</f>
        <v>133500</v>
      </c>
      <c r="G173" s="210">
        <f>15%*G172</f>
        <v>1012500</v>
      </c>
      <c r="H173" s="120">
        <f aca="true" t="shared" si="46" ref="H173:H178">G173/7</f>
        <v>144642.85714285713</v>
      </c>
      <c r="I173" s="191"/>
    </row>
    <row r="174" spans="1:9" ht="16.5">
      <c r="A174" s="209" t="s">
        <v>153</v>
      </c>
      <c r="B174" s="459">
        <f>10%*B172</f>
        <v>445000</v>
      </c>
      <c r="C174" s="385"/>
      <c r="D174" s="385"/>
      <c r="E174" s="385"/>
      <c r="F174" s="208">
        <f t="shared" si="45"/>
        <v>89000</v>
      </c>
      <c r="G174" s="210">
        <f>10%*G172</f>
        <v>675000</v>
      </c>
      <c r="H174" s="120">
        <f t="shared" si="46"/>
        <v>96428.57142857143</v>
      </c>
      <c r="I174" s="191"/>
    </row>
    <row r="175" spans="1:9" ht="16.5">
      <c r="A175" s="209" t="s">
        <v>155</v>
      </c>
      <c r="B175" s="459">
        <f>35%*B172</f>
        <v>1557500</v>
      </c>
      <c r="C175" s="385"/>
      <c r="D175" s="385"/>
      <c r="E175" s="385"/>
      <c r="F175" s="208">
        <f t="shared" si="45"/>
        <v>311500</v>
      </c>
      <c r="G175" s="210">
        <f>35%*G172</f>
        <v>2362500</v>
      </c>
      <c r="H175" s="120">
        <f t="shared" si="46"/>
        <v>337500</v>
      </c>
      <c r="I175" s="191"/>
    </row>
    <row r="176" spans="1:9" ht="16.5">
      <c r="A176" s="209" t="s">
        <v>156</v>
      </c>
      <c r="B176" s="462">
        <f>15%*B172</f>
        <v>667500</v>
      </c>
      <c r="C176" s="463"/>
      <c r="D176" s="463"/>
      <c r="E176" s="463"/>
      <c r="F176" s="208">
        <f t="shared" si="45"/>
        <v>133500</v>
      </c>
      <c r="G176" s="210">
        <f>15%*G172</f>
        <v>1012500</v>
      </c>
      <c r="H176" s="120">
        <f t="shared" si="46"/>
        <v>144642.85714285713</v>
      </c>
      <c r="I176" s="191"/>
    </row>
    <row r="177" spans="1:9" ht="16.5">
      <c r="A177" s="209" t="s">
        <v>154</v>
      </c>
      <c r="B177" s="459">
        <f>10%*B172</f>
        <v>445000</v>
      </c>
      <c r="C177" s="385"/>
      <c r="D177" s="385"/>
      <c r="E177" s="385"/>
      <c r="F177" s="208">
        <f t="shared" si="45"/>
        <v>89000</v>
      </c>
      <c r="G177" s="210">
        <f>10%*G172</f>
        <v>675000</v>
      </c>
      <c r="H177" s="120">
        <f t="shared" si="46"/>
        <v>96428.57142857143</v>
      </c>
      <c r="I177" s="191"/>
    </row>
    <row r="178" spans="1:9" ht="18" thickBot="1">
      <c r="A178" s="211" t="s">
        <v>158</v>
      </c>
      <c r="B178" s="477">
        <f>15%*B172</f>
        <v>667500</v>
      </c>
      <c r="C178" s="389"/>
      <c r="D178" s="389"/>
      <c r="E178" s="389"/>
      <c r="F178" s="212">
        <f t="shared" si="45"/>
        <v>133500</v>
      </c>
      <c r="G178" s="213">
        <f>15%*G172</f>
        <v>1012500</v>
      </c>
      <c r="H178" s="214">
        <f t="shared" si="46"/>
        <v>144642.85714285713</v>
      </c>
      <c r="I178" s="191"/>
    </row>
    <row r="179" spans="1:10" ht="16.5" thickBot="1">
      <c r="A179" s="378"/>
      <c r="B179" s="379"/>
      <c r="C179" s="379"/>
      <c r="D179" s="379"/>
      <c r="E179" s="379"/>
      <c r="F179" s="379"/>
      <c r="G179" s="379"/>
      <c r="H179" s="380"/>
      <c r="I179" s="191"/>
      <c r="J179" s="139"/>
    </row>
    <row r="180" spans="1:10" ht="15.75">
      <c r="A180" s="343" t="s">
        <v>6</v>
      </c>
      <c r="B180" s="444">
        <f>50%*SUM(B17:F17)</f>
        <v>4500000</v>
      </c>
      <c r="C180" s="445"/>
      <c r="D180" s="445"/>
      <c r="E180" s="445"/>
      <c r="F180" s="446"/>
      <c r="G180" s="457">
        <f>50%*SUM(B17:H17)</f>
        <v>6825000</v>
      </c>
      <c r="H180" s="458"/>
      <c r="I180" s="191"/>
      <c r="J180" s="139"/>
    </row>
    <row r="181" spans="1:10" ht="33.75">
      <c r="A181" s="209" t="s">
        <v>152</v>
      </c>
      <c r="B181" s="459">
        <f>10%*B180</f>
        <v>450000</v>
      </c>
      <c r="C181" s="385"/>
      <c r="D181" s="385"/>
      <c r="E181" s="387"/>
      <c r="F181" s="120">
        <f aca="true" t="shared" si="47" ref="F181:F187">B181/5</f>
        <v>90000</v>
      </c>
      <c r="G181" s="210">
        <f>10%*G180</f>
        <v>682500</v>
      </c>
      <c r="H181" s="120">
        <f>G181/7</f>
        <v>97500</v>
      </c>
      <c r="I181" s="191"/>
      <c r="J181" s="139"/>
    </row>
    <row r="182" spans="1:10" ht="16.5">
      <c r="A182" s="209" t="s">
        <v>159</v>
      </c>
      <c r="B182" s="459">
        <f>25%*B180</f>
        <v>1125000</v>
      </c>
      <c r="C182" s="385"/>
      <c r="D182" s="385"/>
      <c r="E182" s="387"/>
      <c r="F182" s="120">
        <f t="shared" si="47"/>
        <v>225000</v>
      </c>
      <c r="G182" s="210">
        <f>25%*G180</f>
        <v>1706250</v>
      </c>
      <c r="H182" s="120">
        <f aca="true" t="shared" si="48" ref="H182:H187">G182/7</f>
        <v>243750</v>
      </c>
      <c r="I182" s="191"/>
      <c r="J182" s="139"/>
    </row>
    <row r="183" spans="1:10" ht="16.5">
      <c r="A183" s="209" t="s">
        <v>156</v>
      </c>
      <c r="B183" s="459">
        <f>15%*B180</f>
        <v>675000</v>
      </c>
      <c r="C183" s="385"/>
      <c r="D183" s="385"/>
      <c r="E183" s="387"/>
      <c r="F183" s="120">
        <f t="shared" si="47"/>
        <v>135000</v>
      </c>
      <c r="G183" s="210">
        <f>15%*G180</f>
        <v>1023750</v>
      </c>
      <c r="H183" s="120">
        <f t="shared" si="48"/>
        <v>146250</v>
      </c>
      <c r="I183" s="191"/>
      <c r="J183" s="139"/>
    </row>
    <row r="184" spans="1:10" ht="16.5">
      <c r="A184" s="209" t="s">
        <v>160</v>
      </c>
      <c r="B184" s="459">
        <f>10%*B180</f>
        <v>450000</v>
      </c>
      <c r="C184" s="385"/>
      <c r="D184" s="385"/>
      <c r="E184" s="387"/>
      <c r="F184" s="120">
        <f t="shared" si="47"/>
        <v>90000</v>
      </c>
      <c r="G184" s="210">
        <f>10%*G180</f>
        <v>682500</v>
      </c>
      <c r="H184" s="120">
        <f t="shared" si="48"/>
        <v>97500</v>
      </c>
      <c r="I184" s="191"/>
      <c r="J184" s="139"/>
    </row>
    <row r="185" spans="1:10" ht="16.5">
      <c r="A185" s="209" t="s">
        <v>161</v>
      </c>
      <c r="B185" s="459">
        <f>15%*B180</f>
        <v>675000</v>
      </c>
      <c r="C185" s="385"/>
      <c r="D185" s="385"/>
      <c r="E185" s="387"/>
      <c r="F185" s="120">
        <f t="shared" si="47"/>
        <v>135000</v>
      </c>
      <c r="G185" s="210">
        <f>15%*G180</f>
        <v>1023750</v>
      </c>
      <c r="H185" s="120">
        <f t="shared" si="48"/>
        <v>146250</v>
      </c>
      <c r="I185" s="191"/>
      <c r="J185" s="139"/>
    </row>
    <row r="186" spans="1:10" ht="16.5">
      <c r="A186" s="209" t="s">
        <v>162</v>
      </c>
      <c r="B186" s="459">
        <f>10%*B180</f>
        <v>450000</v>
      </c>
      <c r="C186" s="385"/>
      <c r="D186" s="385"/>
      <c r="E186" s="387"/>
      <c r="F186" s="120">
        <f t="shared" si="47"/>
        <v>90000</v>
      </c>
      <c r="G186" s="210">
        <f>10%*G180</f>
        <v>682500</v>
      </c>
      <c r="H186" s="120">
        <f t="shared" si="48"/>
        <v>97500</v>
      </c>
      <c r="I186" s="191"/>
      <c r="J186" s="139"/>
    </row>
    <row r="187" spans="1:10" ht="18" thickBot="1">
      <c r="A187" s="211" t="s">
        <v>158</v>
      </c>
      <c r="B187" s="477">
        <f>15%*B180</f>
        <v>675000</v>
      </c>
      <c r="C187" s="389"/>
      <c r="D187" s="389"/>
      <c r="E187" s="390"/>
      <c r="F187" s="214">
        <f t="shared" si="47"/>
        <v>135000</v>
      </c>
      <c r="G187" s="213">
        <f>15%*G180</f>
        <v>1023750</v>
      </c>
      <c r="H187" s="214">
        <f t="shared" si="48"/>
        <v>146250</v>
      </c>
      <c r="I187" s="191"/>
      <c r="J187" s="139"/>
    </row>
    <row r="188" spans="1:10" ht="16.5" thickBot="1">
      <c r="A188" s="381"/>
      <c r="B188" s="382"/>
      <c r="C188" s="382"/>
      <c r="D188" s="382"/>
      <c r="E188" s="382"/>
      <c r="F188" s="382"/>
      <c r="G188" s="382"/>
      <c r="H188" s="383"/>
      <c r="I188" s="191"/>
      <c r="J188" s="139"/>
    </row>
    <row r="189" spans="1:10" ht="15.75">
      <c r="A189" s="343" t="s">
        <v>40</v>
      </c>
      <c r="B189" s="481" t="s">
        <v>164</v>
      </c>
      <c r="C189" s="482"/>
      <c r="D189" s="482"/>
      <c r="E189" s="482"/>
      <c r="F189" s="483"/>
      <c r="G189" s="484" t="s">
        <v>165</v>
      </c>
      <c r="H189" s="485"/>
      <c r="I189" s="191"/>
      <c r="J189" s="139"/>
    </row>
    <row r="190" spans="1:10" ht="15.75">
      <c r="A190" s="344" t="s">
        <v>5</v>
      </c>
      <c r="B190" s="459">
        <f>SUM(C34:F34)</f>
        <v>13200000</v>
      </c>
      <c r="C190" s="385"/>
      <c r="D190" s="385"/>
      <c r="E190" s="385"/>
      <c r="F190" s="386"/>
      <c r="G190" s="459">
        <f>SUM(C34:H34)</f>
        <v>21600000</v>
      </c>
      <c r="H190" s="386"/>
      <c r="I190" s="191"/>
      <c r="J190" s="139"/>
    </row>
    <row r="191" spans="1:10" ht="15.75">
      <c r="A191" s="345" t="s">
        <v>232</v>
      </c>
      <c r="B191" s="459">
        <f>75%*B190</f>
        <v>9900000</v>
      </c>
      <c r="C191" s="385"/>
      <c r="D191" s="385"/>
      <c r="E191" s="387"/>
      <c r="F191" s="120">
        <f>B191/4</f>
        <v>2475000</v>
      </c>
      <c r="G191" s="210">
        <f>75%*G190</f>
        <v>16200000</v>
      </c>
      <c r="H191" s="120">
        <f>G191/6</f>
        <v>2700000</v>
      </c>
      <c r="I191" s="191"/>
      <c r="J191" s="139"/>
    </row>
    <row r="192" spans="1:10" ht="15.75">
      <c r="A192" s="345" t="s">
        <v>233</v>
      </c>
      <c r="B192" s="459">
        <f>0%*B190</f>
        <v>0</v>
      </c>
      <c r="C192" s="385"/>
      <c r="D192" s="385"/>
      <c r="E192" s="387"/>
      <c r="F192" s="120">
        <f>B192/4</f>
        <v>0</v>
      </c>
      <c r="G192" s="210">
        <f>0%*G190</f>
        <v>0</v>
      </c>
      <c r="H192" s="120">
        <f>G192/6</f>
        <v>0</v>
      </c>
      <c r="I192" s="191"/>
      <c r="J192" s="139"/>
    </row>
    <row r="193" spans="1:10" ht="15.75">
      <c r="A193" s="345" t="s">
        <v>162</v>
      </c>
      <c r="B193" s="459">
        <f>10%*B190</f>
        <v>1320000</v>
      </c>
      <c r="C193" s="385"/>
      <c r="D193" s="385"/>
      <c r="E193" s="387"/>
      <c r="F193" s="120">
        <f>B193/4</f>
        <v>330000</v>
      </c>
      <c r="G193" s="210">
        <f>10%*G190</f>
        <v>2160000</v>
      </c>
      <c r="H193" s="120">
        <f>G193/6</f>
        <v>360000</v>
      </c>
      <c r="I193" s="191"/>
      <c r="J193" s="139"/>
    </row>
    <row r="194" spans="1:10" ht="16.5" thickBot="1">
      <c r="A194" s="346" t="s">
        <v>158</v>
      </c>
      <c r="B194" s="477">
        <f>15%*B190</f>
        <v>1980000</v>
      </c>
      <c r="C194" s="389"/>
      <c r="D194" s="389"/>
      <c r="E194" s="390"/>
      <c r="F194" s="214">
        <f>B194/4</f>
        <v>495000</v>
      </c>
      <c r="G194" s="213">
        <f>15%*G190</f>
        <v>3240000</v>
      </c>
      <c r="H194" s="214">
        <f>G194/6</f>
        <v>540000</v>
      </c>
      <c r="I194" s="191"/>
      <c r="J194" s="139"/>
    </row>
    <row r="195" spans="1:10" ht="16.5" thickBot="1">
      <c r="A195" s="378"/>
      <c r="B195" s="379"/>
      <c r="C195" s="379"/>
      <c r="D195" s="379"/>
      <c r="E195" s="379"/>
      <c r="F195" s="379"/>
      <c r="G195" s="379"/>
      <c r="H195" s="380"/>
      <c r="I195" s="191"/>
      <c r="J195" s="139"/>
    </row>
    <row r="196" spans="1:10" ht="15.75">
      <c r="A196" s="343" t="s">
        <v>6</v>
      </c>
      <c r="B196" s="444">
        <f>SUM(C35:F35)</f>
        <v>8800000</v>
      </c>
      <c r="C196" s="445"/>
      <c r="D196" s="445"/>
      <c r="E196" s="445"/>
      <c r="F196" s="446"/>
      <c r="G196" s="457">
        <f>SUM(C35:H35)</f>
        <v>14400000</v>
      </c>
      <c r="H196" s="458"/>
      <c r="I196" s="191"/>
      <c r="J196" s="139"/>
    </row>
    <row r="197" spans="1:10" ht="15.75">
      <c r="A197" s="345" t="s">
        <v>160</v>
      </c>
      <c r="B197" s="459">
        <f>10%*B196</f>
        <v>880000</v>
      </c>
      <c r="C197" s="385"/>
      <c r="D197" s="385"/>
      <c r="E197" s="387"/>
      <c r="F197" s="120">
        <f aca="true" t="shared" si="49" ref="F197:F202">B197/4</f>
        <v>220000</v>
      </c>
      <c r="G197" s="350">
        <f>10%*G196</f>
        <v>1440000</v>
      </c>
      <c r="H197" s="217">
        <f aca="true" t="shared" si="50" ref="H197:H202">G197/6</f>
        <v>240000</v>
      </c>
      <c r="I197" s="191"/>
      <c r="J197" s="139"/>
    </row>
    <row r="198" spans="1:9" ht="15.75">
      <c r="A198" s="345" t="s">
        <v>161</v>
      </c>
      <c r="B198" s="459">
        <f>15%*B196</f>
        <v>1320000</v>
      </c>
      <c r="C198" s="385"/>
      <c r="D198" s="385"/>
      <c r="E198" s="387"/>
      <c r="F198" s="120">
        <f t="shared" si="49"/>
        <v>330000</v>
      </c>
      <c r="G198" s="350">
        <f>15%*G196</f>
        <v>2160000</v>
      </c>
      <c r="H198" s="217">
        <f t="shared" si="50"/>
        <v>360000</v>
      </c>
      <c r="I198" s="46"/>
    </row>
    <row r="199" spans="1:9" ht="15.75">
      <c r="A199" s="345" t="s">
        <v>234</v>
      </c>
      <c r="B199" s="459">
        <f>50%*B196</f>
        <v>4400000</v>
      </c>
      <c r="C199" s="385"/>
      <c r="D199" s="385"/>
      <c r="E199" s="387"/>
      <c r="F199" s="120">
        <f t="shared" si="49"/>
        <v>1100000</v>
      </c>
      <c r="G199" s="350">
        <f>50%*G196</f>
        <v>7200000</v>
      </c>
      <c r="H199" s="217">
        <f t="shared" si="50"/>
        <v>1200000</v>
      </c>
      <c r="I199" s="46"/>
    </row>
    <row r="200" spans="1:9" ht="15.75">
      <c r="A200" s="347" t="s">
        <v>233</v>
      </c>
      <c r="B200" s="462">
        <f>0%*B196</f>
        <v>0</v>
      </c>
      <c r="C200" s="463"/>
      <c r="D200" s="463"/>
      <c r="E200" s="464"/>
      <c r="F200" s="120">
        <f t="shared" si="49"/>
        <v>0</v>
      </c>
      <c r="G200" s="350">
        <f>0%*G196</f>
        <v>0</v>
      </c>
      <c r="H200" s="217">
        <f t="shared" si="50"/>
        <v>0</v>
      </c>
      <c r="I200" s="46"/>
    </row>
    <row r="201" spans="1:9" ht="15.75">
      <c r="A201" s="347" t="s">
        <v>162</v>
      </c>
      <c r="B201" s="462">
        <f>10%*B196</f>
        <v>880000</v>
      </c>
      <c r="C201" s="463"/>
      <c r="D201" s="463"/>
      <c r="E201" s="464"/>
      <c r="F201" s="120">
        <f t="shared" si="49"/>
        <v>220000</v>
      </c>
      <c r="G201" s="350">
        <f>10%*G196</f>
        <v>1440000</v>
      </c>
      <c r="H201" s="217">
        <f t="shared" si="50"/>
        <v>240000</v>
      </c>
      <c r="I201" s="46"/>
    </row>
    <row r="202" spans="1:9" ht="16.5" thickBot="1">
      <c r="A202" s="348" t="s">
        <v>158</v>
      </c>
      <c r="B202" s="486">
        <f>15%*B196</f>
        <v>1320000</v>
      </c>
      <c r="C202" s="487"/>
      <c r="D202" s="487"/>
      <c r="E202" s="488"/>
      <c r="F202" s="214">
        <f t="shared" si="49"/>
        <v>330000</v>
      </c>
      <c r="G202" s="351">
        <f>15%*G196</f>
        <v>2160000</v>
      </c>
      <c r="H202" s="352">
        <f t="shared" si="50"/>
        <v>360000</v>
      </c>
      <c r="I202" s="46"/>
    </row>
    <row r="203" spans="1:9" ht="16.5" thickBot="1">
      <c r="A203" s="381"/>
      <c r="B203" s="382"/>
      <c r="C203" s="382"/>
      <c r="D203" s="382"/>
      <c r="E203" s="382"/>
      <c r="F203" s="382"/>
      <c r="G203" s="382"/>
      <c r="H203" s="383"/>
      <c r="I203" s="46"/>
    </row>
    <row r="204" spans="1:9" ht="15.75">
      <c r="A204" s="405" t="s">
        <v>77</v>
      </c>
      <c r="B204" s="471" t="s">
        <v>166</v>
      </c>
      <c r="C204" s="472"/>
      <c r="D204" s="472"/>
      <c r="E204" s="472"/>
      <c r="F204" s="473"/>
      <c r="G204" s="471" t="s">
        <v>135</v>
      </c>
      <c r="H204" s="473"/>
      <c r="I204" s="46"/>
    </row>
    <row r="205" spans="1:9" ht="15.75">
      <c r="A205" s="406"/>
      <c r="B205" s="478">
        <f>SUM(D45:F45)</f>
        <v>950000</v>
      </c>
      <c r="C205" s="479"/>
      <c r="D205" s="479"/>
      <c r="E205" s="479"/>
      <c r="F205" s="480"/>
      <c r="G205" s="478">
        <f>SUM(D45:H45)</f>
        <v>1700000</v>
      </c>
      <c r="H205" s="480"/>
      <c r="I205" s="46"/>
    </row>
    <row r="206" spans="1:9" ht="15.75">
      <c r="A206" s="344" t="s">
        <v>5</v>
      </c>
      <c r="B206" s="489">
        <f>B205/2</f>
        <v>475000</v>
      </c>
      <c r="C206" s="490"/>
      <c r="D206" s="490"/>
      <c r="E206" s="490"/>
      <c r="F206" s="88">
        <f>B206/3</f>
        <v>158333.33333333334</v>
      </c>
      <c r="G206" s="491">
        <f>G205/2</f>
        <v>850000</v>
      </c>
      <c r="H206" s="492"/>
      <c r="I206" s="46"/>
    </row>
    <row r="207" spans="1:9" ht="15.75">
      <c r="A207" s="345" t="s">
        <v>235</v>
      </c>
      <c r="B207" s="467">
        <f>70%*B206</f>
        <v>332500</v>
      </c>
      <c r="C207" s="468"/>
      <c r="D207" s="468"/>
      <c r="E207" s="468"/>
      <c r="F207" s="120">
        <f>B207/3</f>
        <v>110833.33333333333</v>
      </c>
      <c r="G207" s="210">
        <f>70%*G206</f>
        <v>595000</v>
      </c>
      <c r="H207" s="120">
        <f>G207/5</f>
        <v>119000</v>
      </c>
      <c r="I207" s="46"/>
    </row>
    <row r="208" spans="1:9" ht="15.75">
      <c r="A208" s="345" t="s">
        <v>233</v>
      </c>
      <c r="B208" s="467">
        <f>0%*B206</f>
        <v>0</v>
      </c>
      <c r="C208" s="468"/>
      <c r="D208" s="468"/>
      <c r="E208" s="468"/>
      <c r="F208" s="120">
        <f>B208/3</f>
        <v>0</v>
      </c>
      <c r="G208" s="210">
        <f>0%*G206</f>
        <v>0</v>
      </c>
      <c r="H208" s="120">
        <f>G208/5</f>
        <v>0</v>
      </c>
      <c r="I208" s="46"/>
    </row>
    <row r="209" spans="1:9" ht="15.75">
      <c r="A209" s="345" t="s">
        <v>162</v>
      </c>
      <c r="B209" s="467">
        <f>10%*B206</f>
        <v>47500</v>
      </c>
      <c r="C209" s="468"/>
      <c r="D209" s="468"/>
      <c r="E209" s="468"/>
      <c r="F209" s="120">
        <f>B209/3</f>
        <v>15833.333333333334</v>
      </c>
      <c r="G209" s="210">
        <f>10%*G206</f>
        <v>85000</v>
      </c>
      <c r="H209" s="120">
        <f>G209/5</f>
        <v>17000</v>
      </c>
      <c r="I209" s="46"/>
    </row>
    <row r="210" spans="1:9" ht="34.5" thickBot="1">
      <c r="A210" s="211" t="s">
        <v>163</v>
      </c>
      <c r="B210" s="469">
        <f>20%*B206</f>
        <v>95000</v>
      </c>
      <c r="C210" s="470"/>
      <c r="D210" s="470"/>
      <c r="E210" s="470"/>
      <c r="F210" s="214">
        <f>B210/3</f>
        <v>31666.666666666668</v>
      </c>
      <c r="G210" s="213">
        <f>20%*G206</f>
        <v>170000</v>
      </c>
      <c r="H210" s="214">
        <f>G210/5</f>
        <v>34000</v>
      </c>
      <c r="I210" s="46"/>
    </row>
    <row r="211" spans="1:9" ht="16.5" thickBot="1">
      <c r="A211" s="378"/>
      <c r="B211" s="379"/>
      <c r="C211" s="379"/>
      <c r="D211" s="379"/>
      <c r="E211" s="379"/>
      <c r="F211" s="379"/>
      <c r="G211" s="379"/>
      <c r="H211" s="380"/>
      <c r="I211" s="46"/>
    </row>
    <row r="212" spans="1:9" ht="15.75">
      <c r="A212" s="343" t="s">
        <v>6</v>
      </c>
      <c r="B212" s="457">
        <f>B205/2</f>
        <v>475000</v>
      </c>
      <c r="C212" s="474"/>
      <c r="D212" s="474"/>
      <c r="E212" s="474"/>
      <c r="F212" s="458"/>
      <c r="G212" s="457">
        <f>G205/2</f>
        <v>850000</v>
      </c>
      <c r="H212" s="458"/>
      <c r="I212" s="46"/>
    </row>
    <row r="213" spans="1:9" ht="15.75">
      <c r="A213" s="347" t="s">
        <v>160</v>
      </c>
      <c r="B213" s="459">
        <f>10%*B212</f>
        <v>47500</v>
      </c>
      <c r="C213" s="385"/>
      <c r="D213" s="385"/>
      <c r="E213" s="387"/>
      <c r="F213" s="120">
        <f aca="true" t="shared" si="51" ref="F213:F218">B213/3</f>
        <v>15833.333333333334</v>
      </c>
      <c r="G213" s="210">
        <f>10%*G212</f>
        <v>85000</v>
      </c>
      <c r="H213" s="120">
        <f aca="true" t="shared" si="52" ref="H213:H218">G213/5</f>
        <v>17000</v>
      </c>
      <c r="I213" s="46"/>
    </row>
    <row r="214" spans="1:9" ht="15.75">
      <c r="A214" s="347" t="s">
        <v>167</v>
      </c>
      <c r="B214" s="459">
        <f>10%*B212</f>
        <v>47500</v>
      </c>
      <c r="C214" s="385"/>
      <c r="D214" s="385"/>
      <c r="E214" s="387"/>
      <c r="F214" s="120">
        <f t="shared" si="51"/>
        <v>15833.333333333334</v>
      </c>
      <c r="G214" s="210">
        <f>10%*G212</f>
        <v>85000</v>
      </c>
      <c r="H214" s="120">
        <f t="shared" si="52"/>
        <v>17000</v>
      </c>
      <c r="I214" s="46"/>
    </row>
    <row r="215" spans="1:9" ht="15.75">
      <c r="A215" s="347" t="s">
        <v>234</v>
      </c>
      <c r="B215" s="459">
        <f>50%*B212</f>
        <v>237500</v>
      </c>
      <c r="C215" s="385"/>
      <c r="D215" s="385"/>
      <c r="E215" s="387"/>
      <c r="F215" s="120">
        <f t="shared" si="51"/>
        <v>79166.66666666667</v>
      </c>
      <c r="G215" s="210">
        <f>50%*G212</f>
        <v>425000</v>
      </c>
      <c r="H215" s="120">
        <f t="shared" si="52"/>
        <v>85000</v>
      </c>
      <c r="I215" s="46"/>
    </row>
    <row r="216" spans="1:9" ht="15.75">
      <c r="A216" s="347" t="s">
        <v>233</v>
      </c>
      <c r="B216" s="459">
        <f>0%*B212</f>
        <v>0</v>
      </c>
      <c r="C216" s="385"/>
      <c r="D216" s="385"/>
      <c r="E216" s="387"/>
      <c r="F216" s="120">
        <f t="shared" si="51"/>
        <v>0</v>
      </c>
      <c r="G216" s="210">
        <f>0%*G212</f>
        <v>0</v>
      </c>
      <c r="H216" s="120">
        <f t="shared" si="52"/>
        <v>0</v>
      </c>
      <c r="I216" s="46"/>
    </row>
    <row r="217" spans="1:9" ht="15.75">
      <c r="A217" s="347" t="s">
        <v>162</v>
      </c>
      <c r="B217" s="459">
        <f>10%*B212</f>
        <v>47500</v>
      </c>
      <c r="C217" s="385"/>
      <c r="D217" s="385"/>
      <c r="E217" s="387"/>
      <c r="F217" s="120">
        <f t="shared" si="51"/>
        <v>15833.333333333334</v>
      </c>
      <c r="G217" s="210">
        <f>10%*G212</f>
        <v>85000</v>
      </c>
      <c r="H217" s="120">
        <f t="shared" si="52"/>
        <v>17000</v>
      </c>
      <c r="I217" s="46"/>
    </row>
    <row r="218" spans="1:9" ht="34.5" thickBot="1">
      <c r="A218" s="349" t="s">
        <v>163</v>
      </c>
      <c r="B218" s="477">
        <f>20%*B212</f>
        <v>95000</v>
      </c>
      <c r="C218" s="389"/>
      <c r="D218" s="389"/>
      <c r="E218" s="390"/>
      <c r="F218" s="214">
        <f t="shared" si="51"/>
        <v>31666.666666666668</v>
      </c>
      <c r="G218" s="213">
        <f>20%*G212</f>
        <v>170000</v>
      </c>
      <c r="H218" s="214">
        <f t="shared" si="52"/>
        <v>34000</v>
      </c>
      <c r="I218" s="46"/>
    </row>
    <row r="219" spans="1:10" ht="24.75" thickBot="1">
      <c r="A219" s="412" t="s">
        <v>172</v>
      </c>
      <c r="B219" s="413"/>
      <c r="C219" s="413"/>
      <c r="D219" s="413"/>
      <c r="E219" s="413"/>
      <c r="F219" s="413"/>
      <c r="G219" s="413"/>
      <c r="H219" s="413"/>
      <c r="I219" s="414"/>
      <c r="J219" s="155"/>
    </row>
    <row r="220" spans="1:10" ht="21.75" thickBot="1">
      <c r="A220" s="317"/>
      <c r="B220" s="407" t="s">
        <v>176</v>
      </c>
      <c r="C220" s="408"/>
      <c r="D220" s="408"/>
      <c r="E220" s="409"/>
      <c r="F220" s="407" t="s">
        <v>177</v>
      </c>
      <c r="G220" s="408"/>
      <c r="H220" s="408"/>
      <c r="I220" s="409"/>
      <c r="J220" s="139"/>
    </row>
    <row r="221" spans="1:10" ht="13.5" customHeight="1">
      <c r="A221" s="318"/>
      <c r="B221" s="460" t="s">
        <v>170</v>
      </c>
      <c r="C221" s="461"/>
      <c r="D221" s="410" t="s">
        <v>171</v>
      </c>
      <c r="E221" s="411"/>
      <c r="F221" s="410" t="s">
        <v>170</v>
      </c>
      <c r="G221" s="411"/>
      <c r="H221" s="465" t="s">
        <v>171</v>
      </c>
      <c r="I221" s="466"/>
      <c r="J221" s="139"/>
    </row>
    <row r="222" spans="1:10" ht="15.75">
      <c r="A222" s="318"/>
      <c r="B222" s="187" t="s">
        <v>168</v>
      </c>
      <c r="C222" s="218" t="s">
        <v>4</v>
      </c>
      <c r="D222" s="187" t="s">
        <v>169</v>
      </c>
      <c r="E222" s="218" t="s">
        <v>4</v>
      </c>
      <c r="F222" s="187" t="s">
        <v>169</v>
      </c>
      <c r="G222" s="219" t="s">
        <v>4</v>
      </c>
      <c r="H222" s="220" t="s">
        <v>169</v>
      </c>
      <c r="I222" s="219" t="s">
        <v>4</v>
      </c>
      <c r="J222" s="139"/>
    </row>
    <row r="223" spans="1:10" ht="15.75">
      <c r="A223" s="368" t="s">
        <v>141</v>
      </c>
      <c r="B223" s="210">
        <f>F173+F181</f>
        <v>223500</v>
      </c>
      <c r="C223" s="120">
        <f>B173+B181</f>
        <v>1117500</v>
      </c>
      <c r="D223" s="221"/>
      <c r="E223" s="222"/>
      <c r="F223" s="210">
        <f>H173+H181</f>
        <v>242142.85714285713</v>
      </c>
      <c r="G223" s="120">
        <f>G173+G181</f>
        <v>1695000</v>
      </c>
      <c r="H223" s="223"/>
      <c r="I223" s="222"/>
      <c r="J223" s="139"/>
    </row>
    <row r="224" spans="1:10" ht="15.75">
      <c r="A224" s="368" t="s">
        <v>138</v>
      </c>
      <c r="B224" s="210">
        <f>F174</f>
        <v>89000</v>
      </c>
      <c r="C224" s="120">
        <f>B174</f>
        <v>445000</v>
      </c>
      <c r="D224" s="221"/>
      <c r="E224" s="222"/>
      <c r="F224" s="210">
        <f>H174</f>
        <v>96428.57142857143</v>
      </c>
      <c r="G224" s="120">
        <f>G174</f>
        <v>675000</v>
      </c>
      <c r="H224" s="223"/>
      <c r="I224" s="222"/>
      <c r="J224" s="139"/>
    </row>
    <row r="225" spans="1:10" ht="15.75">
      <c r="A225" s="368" t="s">
        <v>137</v>
      </c>
      <c r="B225" s="210">
        <f>F184+F197+F213</f>
        <v>325833.3333333333</v>
      </c>
      <c r="C225" s="120">
        <f>B213+B197+B184</f>
        <v>1377500</v>
      </c>
      <c r="D225" s="221"/>
      <c r="E225" s="222"/>
      <c r="F225" s="210">
        <f>H184+H197+H213</f>
        <v>354500</v>
      </c>
      <c r="G225" s="120">
        <f>G184+G197+G213</f>
        <v>2207500</v>
      </c>
      <c r="H225" s="223"/>
      <c r="I225" s="222"/>
      <c r="J225" s="139"/>
    </row>
    <row r="226" spans="1:10" ht="15.75">
      <c r="A226" s="368" t="s">
        <v>140</v>
      </c>
      <c r="B226" s="210">
        <f>F214+F198+F185</f>
        <v>480833.3333333333</v>
      </c>
      <c r="C226" s="120">
        <f>B214+B198+B185</f>
        <v>2042500</v>
      </c>
      <c r="D226" s="221"/>
      <c r="E226" s="222"/>
      <c r="F226" s="210">
        <f>H185+H198+H214</f>
        <v>523250</v>
      </c>
      <c r="G226" s="120">
        <f>G185+G198+G214</f>
        <v>3268750</v>
      </c>
      <c r="H226" s="223"/>
      <c r="I226" s="222"/>
      <c r="J226" s="139"/>
    </row>
    <row r="227" spans="1:11" ht="15.75">
      <c r="A227" s="368" t="s">
        <v>142</v>
      </c>
      <c r="B227" s="210">
        <f>F183+F176</f>
        <v>268500</v>
      </c>
      <c r="C227" s="120">
        <f>B176+B183</f>
        <v>1342500</v>
      </c>
      <c r="D227" s="221"/>
      <c r="E227" s="222"/>
      <c r="F227" s="210">
        <f>H176+H183</f>
        <v>290892.85714285716</v>
      </c>
      <c r="G227" s="120">
        <f>G176+G183</f>
        <v>2036250</v>
      </c>
      <c r="H227" s="223"/>
      <c r="I227" s="222"/>
      <c r="J227" s="139"/>
      <c r="K227" s="374"/>
    </row>
    <row r="228" spans="1:10" ht="15.75">
      <c r="A228" s="368" t="s">
        <v>145</v>
      </c>
      <c r="B228" s="210">
        <f>F217+F209+F201+F193+F186+F177</f>
        <v>760666.6666666666</v>
      </c>
      <c r="C228" s="120">
        <f>B217+B209+B201+B193+B186+B177</f>
        <v>3190000</v>
      </c>
      <c r="D228" s="221"/>
      <c r="E228" s="222"/>
      <c r="F228" s="210">
        <f>H177+H186+H193+H201+H209+H217</f>
        <v>827928.5714285714</v>
      </c>
      <c r="G228" s="120">
        <f>G177+G186+G193+G201+G209+G217</f>
        <v>5127500</v>
      </c>
      <c r="H228" s="223"/>
      <c r="I228" s="222"/>
      <c r="J228" s="139"/>
    </row>
    <row r="229" spans="1:10" ht="16.5" thickBot="1">
      <c r="A229" s="368" t="s">
        <v>139</v>
      </c>
      <c r="B229" s="210">
        <f>F215+F207+F199+F191+F182+F175</f>
        <v>4301500</v>
      </c>
      <c r="C229" s="120">
        <f>B215+B207+B199+B191+B182+B175</f>
        <v>17552500</v>
      </c>
      <c r="D229" s="210">
        <f>E229/5</f>
        <v>1546017.6848199998</v>
      </c>
      <c r="E229" s="120">
        <f>B237+B242+B247</f>
        <v>7730088.4240999995</v>
      </c>
      <c r="F229" s="210">
        <f>H175+H182+H191+H199+H207+H215</f>
        <v>4685250</v>
      </c>
      <c r="G229" s="120">
        <f>G175+G182+G191+G199+G207+G215</f>
        <v>28488750</v>
      </c>
      <c r="H229" s="215">
        <f>I229/7</f>
        <v>2206528.5701142857</v>
      </c>
      <c r="I229" s="120">
        <f>G237+G242+G247</f>
        <v>15445699.9908</v>
      </c>
      <c r="J229" s="139"/>
    </row>
    <row r="230" spans="1:11" ht="51.75" thickBot="1">
      <c r="A230" s="368" t="s">
        <v>143</v>
      </c>
      <c r="B230" s="370">
        <f>F216+F208+F200+F192</f>
        <v>0</v>
      </c>
      <c r="C230" s="371">
        <f>B216+B208+B200+B192</f>
        <v>0</v>
      </c>
      <c r="D230" s="210">
        <f>E230/5</f>
        <v>3391382.31518</v>
      </c>
      <c r="E230" s="120">
        <f>B238+B243+B248</f>
        <v>16956911.5759</v>
      </c>
      <c r="F230" s="370">
        <f>H192+H200+H208+H216</f>
        <v>0</v>
      </c>
      <c r="G230" s="371">
        <f>G192+G200+G208+G216</f>
        <v>0</v>
      </c>
      <c r="H230" s="215">
        <f>I230/7</f>
        <v>4867185.7156</v>
      </c>
      <c r="I230" s="120">
        <f>G238+G243+G248</f>
        <v>34070300.0092</v>
      </c>
      <c r="J230" s="367" t="s">
        <v>226</v>
      </c>
      <c r="K230" s="334">
        <f>G229+G230+I229+I230</f>
        <v>78004750</v>
      </c>
    </row>
    <row r="231" spans="1:10" ht="15.75">
      <c r="A231" s="368" t="s">
        <v>146</v>
      </c>
      <c r="B231" s="210">
        <f>F218+F210+F202+F194+F187+F178</f>
        <v>1156833.3333333333</v>
      </c>
      <c r="C231" s="120">
        <f>B218+B210+B202+B194+B187+B178</f>
        <v>4832500</v>
      </c>
      <c r="D231" s="210">
        <f>E231/5</f>
        <v>748600</v>
      </c>
      <c r="E231" s="120">
        <f>B239+B244+B249</f>
        <v>3743000</v>
      </c>
      <c r="F231" s="210">
        <f>H178+H187+H194+H202+H210+H218</f>
        <v>1258892.8571428573</v>
      </c>
      <c r="G231" s="120">
        <f>G218+G210+G202+G194+G187+G178</f>
        <v>7776250</v>
      </c>
      <c r="H231" s="215">
        <f>I231/7</f>
        <v>1103428.5714285714</v>
      </c>
      <c r="I231" s="120">
        <f>G239+G244+G249</f>
        <v>7724000</v>
      </c>
      <c r="J231" s="139"/>
    </row>
    <row r="232" spans="1:10" ht="16.5" thickBot="1">
      <c r="A232" s="369" t="s">
        <v>173</v>
      </c>
      <c r="B232" s="224">
        <f>SUM(B223:B231)</f>
        <v>7606666.666666666</v>
      </c>
      <c r="C232" s="130">
        <f>SUM(C223:C231)</f>
        <v>31900000</v>
      </c>
      <c r="D232" s="224">
        <f>SUM(D229:D231)</f>
        <v>5686000</v>
      </c>
      <c r="E232" s="130">
        <f>SUM(E229:E231)</f>
        <v>28430000</v>
      </c>
      <c r="F232" s="224">
        <f>SUM(F223:F231)</f>
        <v>8279285.714285715</v>
      </c>
      <c r="G232" s="130">
        <f>SUM(G223:G231)</f>
        <v>51275000</v>
      </c>
      <c r="H232" s="225">
        <f>SUM(H229:H231)</f>
        <v>8177142.857142856</v>
      </c>
      <c r="I232" s="130">
        <f>SUM(I229:I231)</f>
        <v>57240000</v>
      </c>
      <c r="J232" s="139"/>
    </row>
    <row r="233" spans="1:8" ht="24.75" customHeight="1" thickBot="1">
      <c r="A233" s="415" t="s">
        <v>147</v>
      </c>
      <c r="B233" s="416"/>
      <c r="C233" s="416"/>
      <c r="D233" s="416"/>
      <c r="E233" s="416"/>
      <c r="F233" s="416"/>
      <c r="G233" s="416"/>
      <c r="H233" s="417"/>
    </row>
    <row r="234" spans="1:8" ht="21">
      <c r="A234" s="323"/>
      <c r="B234" s="418" t="s">
        <v>135</v>
      </c>
      <c r="C234" s="419"/>
      <c r="D234" s="419"/>
      <c r="E234" s="419"/>
      <c r="F234" s="420"/>
      <c r="G234" s="418" t="s">
        <v>136</v>
      </c>
      <c r="H234" s="421"/>
    </row>
    <row r="235" spans="1:8" ht="15.75">
      <c r="A235" s="291"/>
      <c r="B235" s="394"/>
      <c r="C235" s="395"/>
      <c r="D235" s="395"/>
      <c r="E235" s="395"/>
      <c r="F235" s="396"/>
      <c r="G235" s="319"/>
      <c r="H235" s="320"/>
    </row>
    <row r="236" spans="1:8" ht="16.5">
      <c r="A236" s="226" t="s">
        <v>148</v>
      </c>
      <c r="B236" s="384">
        <f>G54</f>
        <v>3750000</v>
      </c>
      <c r="C236" s="385"/>
      <c r="D236" s="385"/>
      <c r="E236" s="385"/>
      <c r="F236" s="387"/>
      <c r="G236" s="475">
        <f>J54</f>
        <v>7000000</v>
      </c>
      <c r="H236" s="476"/>
    </row>
    <row r="237" spans="1:8" ht="15.75">
      <c r="A237" s="187" t="s">
        <v>227</v>
      </c>
      <c r="B237" s="384">
        <f>27.5157286%*B236</f>
        <v>1031839.8225</v>
      </c>
      <c r="C237" s="385"/>
      <c r="D237" s="385"/>
      <c r="E237" s="387"/>
      <c r="F237" s="216">
        <f>B237/5</f>
        <v>206367.9645</v>
      </c>
      <c r="G237" s="216">
        <f>27.5157286%*G236</f>
        <v>1926101.002</v>
      </c>
      <c r="H237" s="217">
        <f>G237/7</f>
        <v>275157.286</v>
      </c>
    </row>
    <row r="238" spans="1:8" ht="15.75">
      <c r="A238" s="187" t="s">
        <v>228</v>
      </c>
      <c r="B238" s="384">
        <f>62.4842714%*B236</f>
        <v>2343160.1775</v>
      </c>
      <c r="C238" s="385"/>
      <c r="D238" s="385"/>
      <c r="E238" s="387"/>
      <c r="F238" s="216">
        <f>B238/5</f>
        <v>468632.03550000006</v>
      </c>
      <c r="G238" s="216">
        <f>62.4842714%*G236</f>
        <v>4373898.998000001</v>
      </c>
      <c r="H238" s="217">
        <f>G238/7</f>
        <v>624842.714</v>
      </c>
    </row>
    <row r="239" spans="1:8" ht="15.75">
      <c r="A239" s="187" t="s">
        <v>182</v>
      </c>
      <c r="B239" s="384">
        <f>10%*B236</f>
        <v>375000</v>
      </c>
      <c r="C239" s="385"/>
      <c r="D239" s="385"/>
      <c r="E239" s="387"/>
      <c r="F239" s="216">
        <f>B239/5</f>
        <v>75000</v>
      </c>
      <c r="G239" s="216">
        <f>10%*G236</f>
        <v>700000</v>
      </c>
      <c r="H239" s="217">
        <f>G239/7</f>
        <v>100000</v>
      </c>
    </row>
    <row r="240" spans="1:8" ht="15.75">
      <c r="A240" s="316"/>
      <c r="B240" s="394"/>
      <c r="C240" s="395"/>
      <c r="D240" s="395"/>
      <c r="E240" s="395"/>
      <c r="F240" s="396"/>
      <c r="G240" s="321"/>
      <c r="H240" s="322"/>
    </row>
    <row r="241" spans="1:8" ht="15.75">
      <c r="A241" s="192" t="s">
        <v>149</v>
      </c>
      <c r="B241" s="384">
        <f>G62</f>
        <v>15680000</v>
      </c>
      <c r="C241" s="385"/>
      <c r="D241" s="385"/>
      <c r="E241" s="385"/>
      <c r="F241" s="387"/>
      <c r="G241" s="475">
        <f>J62</f>
        <v>30240000</v>
      </c>
      <c r="H241" s="476"/>
    </row>
    <row r="242" spans="1:8" ht="15.75">
      <c r="A242" s="187" t="s">
        <v>184</v>
      </c>
      <c r="B242" s="384">
        <f>29.653912%*B241</f>
        <v>4649733.4015999995</v>
      </c>
      <c r="C242" s="385"/>
      <c r="D242" s="385"/>
      <c r="E242" s="387"/>
      <c r="F242" s="216">
        <f>B241/5</f>
        <v>3136000</v>
      </c>
      <c r="G242" s="216">
        <f>29.653912%*G241</f>
        <v>8967342.9888</v>
      </c>
      <c r="H242" s="217">
        <f>G242/7</f>
        <v>1281048.9984000002</v>
      </c>
    </row>
    <row r="243" spans="1:8" ht="15.75">
      <c r="A243" s="187" t="s">
        <v>229</v>
      </c>
      <c r="B243" s="384">
        <f>60.346088%*B241</f>
        <v>9462266.5984</v>
      </c>
      <c r="C243" s="385"/>
      <c r="D243" s="385"/>
      <c r="E243" s="387"/>
      <c r="F243" s="216">
        <f>B242/5</f>
        <v>929946.6803199999</v>
      </c>
      <c r="G243" s="216">
        <f>60.346088%*G241</f>
        <v>18248657.0112</v>
      </c>
      <c r="H243" s="217">
        <f>G243/7</f>
        <v>2606951.0016</v>
      </c>
    </row>
    <row r="244" spans="1:8" ht="15.75">
      <c r="A244" s="187" t="s">
        <v>182</v>
      </c>
      <c r="B244" s="384">
        <f>10%*B241</f>
        <v>1568000</v>
      </c>
      <c r="C244" s="385"/>
      <c r="D244" s="385"/>
      <c r="E244" s="387"/>
      <c r="F244" s="216">
        <f>B243/5</f>
        <v>1892453.3196800002</v>
      </c>
      <c r="G244" s="216">
        <f>10%*G241</f>
        <v>3024000</v>
      </c>
      <c r="H244" s="217">
        <f>G244/7</f>
        <v>432000</v>
      </c>
    </row>
    <row r="245" spans="1:8" ht="15.75">
      <c r="A245" s="316"/>
      <c r="B245" s="397"/>
      <c r="C245" s="398"/>
      <c r="D245" s="398"/>
      <c r="E245" s="398"/>
      <c r="F245" s="399"/>
      <c r="G245" s="321"/>
      <c r="H245" s="322"/>
    </row>
    <row r="246" spans="1:8" ht="15.75">
      <c r="A246" s="192" t="s">
        <v>150</v>
      </c>
      <c r="B246" s="384">
        <f>G65</f>
        <v>9000000</v>
      </c>
      <c r="C246" s="385"/>
      <c r="D246" s="385"/>
      <c r="E246" s="385"/>
      <c r="F246" s="387"/>
      <c r="G246" s="384">
        <f>J65</f>
        <v>20000000</v>
      </c>
      <c r="H246" s="386"/>
    </row>
    <row r="247" spans="1:8" ht="15.75">
      <c r="A247" s="187" t="s">
        <v>230</v>
      </c>
      <c r="B247" s="384">
        <f>22.76128%*B246</f>
        <v>2048515.2</v>
      </c>
      <c r="C247" s="385"/>
      <c r="D247" s="385"/>
      <c r="E247" s="387"/>
      <c r="F247" s="56">
        <f>B247/5</f>
        <v>409703.04</v>
      </c>
      <c r="G247" s="56">
        <f>22.76128%*G246</f>
        <v>4552256</v>
      </c>
      <c r="H247" s="120">
        <f>G247/7</f>
        <v>650322.2857142857</v>
      </c>
    </row>
    <row r="248" spans="1:8" ht="15.75">
      <c r="A248" s="187" t="s">
        <v>231</v>
      </c>
      <c r="B248" s="384">
        <f>57.23872%*B246</f>
        <v>5151484.8</v>
      </c>
      <c r="C248" s="385"/>
      <c r="D248" s="385"/>
      <c r="E248" s="387"/>
      <c r="F248" s="56">
        <f>B248/5</f>
        <v>1030296.96</v>
      </c>
      <c r="G248" s="56">
        <f>57.23872%*G246</f>
        <v>11447744</v>
      </c>
      <c r="H248" s="120">
        <f>G248/7</f>
        <v>1635392</v>
      </c>
    </row>
    <row r="249" spans="1:8" ht="16.5" thickBot="1">
      <c r="A249" s="227" t="s">
        <v>183</v>
      </c>
      <c r="B249" s="388">
        <f>20%*B246</f>
        <v>1800000</v>
      </c>
      <c r="C249" s="389"/>
      <c r="D249" s="389"/>
      <c r="E249" s="390"/>
      <c r="F249" s="129">
        <f>B249/5</f>
        <v>360000</v>
      </c>
      <c r="G249" s="129">
        <f>20%*G246</f>
        <v>4000000</v>
      </c>
      <c r="H249" s="214">
        <f>G249/7</f>
        <v>571428.5714285715</v>
      </c>
    </row>
    <row r="250" spans="1:10" ht="24">
      <c r="A250" s="422" t="s">
        <v>81</v>
      </c>
      <c r="B250" s="423"/>
      <c r="C250" s="423"/>
      <c r="D250" s="423"/>
      <c r="E250" s="423"/>
      <c r="F250" s="423"/>
      <c r="G250" s="423"/>
      <c r="H250" s="423"/>
      <c r="I250" s="423"/>
      <c r="J250" s="424"/>
    </row>
    <row r="251" spans="1:10" ht="18.75">
      <c r="A251" s="302"/>
      <c r="B251" s="303" t="s">
        <v>199</v>
      </c>
      <c r="C251" s="303" t="s">
        <v>200</v>
      </c>
      <c r="D251" s="303"/>
      <c r="E251" s="303"/>
      <c r="F251" s="303"/>
      <c r="G251" s="303"/>
      <c r="H251" s="303"/>
      <c r="I251" s="303"/>
      <c r="J251" s="304"/>
    </row>
    <row r="252" spans="1:10" ht="15.75">
      <c r="A252" s="305" t="s">
        <v>82</v>
      </c>
      <c r="B252" s="122">
        <f>SUM(B290:F290)</f>
        <v>31900000</v>
      </c>
      <c r="C252" s="122">
        <f>I290</f>
        <v>51275000</v>
      </c>
      <c r="D252" s="306"/>
      <c r="E252" s="307"/>
      <c r="F252" s="307"/>
      <c r="G252" s="156"/>
      <c r="H252" s="156"/>
      <c r="I252" s="156"/>
      <c r="J252" s="157"/>
    </row>
    <row r="253" spans="1:10" ht="15.75">
      <c r="A253" s="305" t="s">
        <v>83</v>
      </c>
      <c r="B253" s="122">
        <f>G52</f>
        <v>28430000</v>
      </c>
      <c r="C253" s="122">
        <f>J52</f>
        <v>57240000</v>
      </c>
      <c r="D253" s="307"/>
      <c r="E253" s="307"/>
      <c r="F253" s="307"/>
      <c r="G253" s="156"/>
      <c r="H253" s="156"/>
      <c r="I253" s="156"/>
      <c r="J253" s="157"/>
    </row>
    <row r="254" spans="1:10" ht="16.5" thickBot="1">
      <c r="A254" s="308" t="s">
        <v>4</v>
      </c>
      <c r="B254" s="233">
        <f>B252+B253</f>
        <v>60330000</v>
      </c>
      <c r="C254" s="233">
        <f>SUM(C252:C253)</f>
        <v>108515000</v>
      </c>
      <c r="D254" s="309"/>
      <c r="E254" s="309"/>
      <c r="F254" s="309"/>
      <c r="G254" s="158"/>
      <c r="H254" s="158"/>
      <c r="I254" s="158"/>
      <c r="J254" s="159"/>
    </row>
    <row r="255" spans="1:10" ht="15.75">
      <c r="A255" s="360"/>
      <c r="B255" s="361"/>
      <c r="C255" s="361"/>
      <c r="D255" s="360"/>
      <c r="E255" s="360"/>
      <c r="F255" s="360"/>
      <c r="G255" s="362"/>
      <c r="H255" s="362"/>
      <c r="I255" s="362"/>
      <c r="J255" s="362"/>
    </row>
    <row r="256" spans="1:10" ht="16.5" thickBot="1">
      <c r="A256" s="360"/>
      <c r="B256" s="361"/>
      <c r="C256" s="361"/>
      <c r="D256" s="360"/>
      <c r="E256" s="360"/>
      <c r="F256" s="360"/>
      <c r="G256" s="362"/>
      <c r="H256" s="362"/>
      <c r="I256" s="362"/>
      <c r="J256" s="362"/>
    </row>
    <row r="257" spans="1:12" ht="24">
      <c r="A257" s="375" t="s">
        <v>225</v>
      </c>
      <c r="B257" s="376"/>
      <c r="C257" s="376"/>
      <c r="D257" s="376"/>
      <c r="E257" s="376"/>
      <c r="F257" s="376"/>
      <c r="G257" s="376"/>
      <c r="H257" s="376"/>
      <c r="I257" s="377"/>
      <c r="J257" s="48"/>
      <c r="K257" s="51" t="s">
        <v>70</v>
      </c>
      <c r="L257" s="1"/>
    </row>
    <row r="258" spans="1:12" ht="15.75">
      <c r="A258" s="336"/>
      <c r="B258" s="274">
        <v>2021</v>
      </c>
      <c r="C258" s="274" t="s">
        <v>71</v>
      </c>
      <c r="D258" s="274" t="s">
        <v>72</v>
      </c>
      <c r="E258" s="274" t="s">
        <v>73</v>
      </c>
      <c r="F258" s="274" t="s">
        <v>74</v>
      </c>
      <c r="G258" s="274" t="s">
        <v>75</v>
      </c>
      <c r="H258" s="274" t="s">
        <v>76</v>
      </c>
      <c r="I258" s="277" t="s">
        <v>0</v>
      </c>
      <c r="J258" s="48"/>
      <c r="K258" s="162"/>
      <c r="L258" s="1"/>
    </row>
    <row r="259" spans="1:12" ht="33.75">
      <c r="A259" s="262" t="s">
        <v>60</v>
      </c>
      <c r="B259" s="56"/>
      <c r="C259" s="56">
        <f aca="true" t="shared" si="53" ref="C259:H259">50%*B20</f>
        <v>750000</v>
      </c>
      <c r="D259" s="56">
        <f t="shared" si="53"/>
        <v>812500</v>
      </c>
      <c r="E259" s="56">
        <f t="shared" si="53"/>
        <v>900000</v>
      </c>
      <c r="F259" s="56">
        <f t="shared" si="53"/>
        <v>962500</v>
      </c>
      <c r="G259" s="56">
        <f t="shared" si="53"/>
        <v>1050000</v>
      </c>
      <c r="H259" s="56">
        <f t="shared" si="53"/>
        <v>1112500</v>
      </c>
      <c r="I259" s="88">
        <f>SUM(B259:H259)</f>
        <v>5587500</v>
      </c>
      <c r="J259" s="163"/>
      <c r="K259" s="164" t="s">
        <v>13</v>
      </c>
      <c r="L259" s="9"/>
    </row>
    <row r="260" spans="1:12" ht="33.75">
      <c r="A260" s="262" t="s">
        <v>67</v>
      </c>
      <c r="B260" s="56"/>
      <c r="C260" s="56">
        <f aca="true" t="shared" si="54" ref="C260:H260">115%*B36</f>
        <v>0</v>
      </c>
      <c r="D260" s="56">
        <f t="shared" si="54"/>
        <v>5520000</v>
      </c>
      <c r="E260" s="56">
        <f t="shared" si="54"/>
        <v>5980000</v>
      </c>
      <c r="F260" s="56">
        <f t="shared" si="54"/>
        <v>6899999.999999999</v>
      </c>
      <c r="G260" s="56">
        <f t="shared" si="54"/>
        <v>6899999.999999999</v>
      </c>
      <c r="H260" s="56">
        <f t="shared" si="54"/>
        <v>7819999.999999999</v>
      </c>
      <c r="I260" s="88">
        <f>SUM(B260:H260)</f>
        <v>33120000</v>
      </c>
      <c r="J260" s="48"/>
      <c r="K260" s="372" t="s">
        <v>236</v>
      </c>
      <c r="L260" s="8" t="s">
        <v>15</v>
      </c>
    </row>
    <row r="261" spans="1:12" ht="33.75">
      <c r="A261" s="262" t="s">
        <v>68</v>
      </c>
      <c r="B261" s="56"/>
      <c r="C261" s="56">
        <f aca="true" t="shared" si="55" ref="C261:H261">200%*B45</f>
        <v>0</v>
      </c>
      <c r="D261" s="56">
        <f t="shared" si="55"/>
        <v>0</v>
      </c>
      <c r="E261" s="56">
        <f t="shared" si="55"/>
        <v>600000</v>
      </c>
      <c r="F261" s="56">
        <f t="shared" si="55"/>
        <v>600000</v>
      </c>
      <c r="G261" s="56">
        <f t="shared" si="55"/>
        <v>700000</v>
      </c>
      <c r="H261" s="56">
        <f t="shared" si="55"/>
        <v>700000</v>
      </c>
      <c r="I261" s="88">
        <f>SUM(B261:H261)</f>
        <v>2600000</v>
      </c>
      <c r="J261" s="48"/>
      <c r="K261" s="164" t="s">
        <v>14</v>
      </c>
      <c r="L261" s="8" t="s">
        <v>16</v>
      </c>
    </row>
    <row r="262" spans="1:12" ht="16.5">
      <c r="A262" s="328" t="s">
        <v>201</v>
      </c>
      <c r="B262" s="228"/>
      <c r="C262" s="228">
        <f>H184+H197</f>
        <v>337500</v>
      </c>
      <c r="D262" s="228">
        <f>H184+H197</f>
        <v>337500</v>
      </c>
      <c r="E262" s="228">
        <f>H184+H197</f>
        <v>337500</v>
      </c>
      <c r="F262" s="228">
        <f>H184+H197</f>
        <v>337500</v>
      </c>
      <c r="G262" s="228">
        <f>H184+H197</f>
        <v>337500</v>
      </c>
      <c r="H262" s="228">
        <f>H184+H197</f>
        <v>337500</v>
      </c>
      <c r="I262" s="310">
        <f>SUM(C262:H262)</f>
        <v>2025000</v>
      </c>
      <c r="J262" s="48"/>
      <c r="K262" s="164" t="s">
        <v>202</v>
      </c>
      <c r="L262" s="8"/>
    </row>
    <row r="263" spans="1:12" ht="34.5" thickBot="1">
      <c r="A263" s="332" t="s">
        <v>0</v>
      </c>
      <c r="B263" s="233"/>
      <c r="C263" s="233">
        <f aca="true" t="shared" si="56" ref="C263:I263">C259+C260+C261-C262</f>
        <v>412500</v>
      </c>
      <c r="D263" s="233">
        <f t="shared" si="56"/>
        <v>5995000</v>
      </c>
      <c r="E263" s="233">
        <f t="shared" si="56"/>
        <v>7142500</v>
      </c>
      <c r="F263" s="233">
        <f t="shared" si="56"/>
        <v>8125000</v>
      </c>
      <c r="G263" s="233">
        <f t="shared" si="56"/>
        <v>8312500</v>
      </c>
      <c r="H263" s="233">
        <f t="shared" si="56"/>
        <v>9295000</v>
      </c>
      <c r="I263" s="130">
        <f t="shared" si="56"/>
        <v>39282500</v>
      </c>
      <c r="J263" s="48"/>
      <c r="K263" s="312" t="s">
        <v>204</v>
      </c>
      <c r="L263" s="1"/>
    </row>
    <row r="264" spans="1:9" ht="24">
      <c r="A264" s="375" t="s">
        <v>203</v>
      </c>
      <c r="B264" s="376"/>
      <c r="C264" s="376"/>
      <c r="D264" s="376"/>
      <c r="E264" s="376"/>
      <c r="F264" s="376"/>
      <c r="G264" s="376"/>
      <c r="H264" s="376"/>
      <c r="I264" s="377"/>
    </row>
    <row r="265" spans="1:9" ht="21">
      <c r="A265" s="336"/>
      <c r="B265" s="402" t="s">
        <v>200</v>
      </c>
      <c r="C265" s="403"/>
      <c r="D265" s="403"/>
      <c r="E265" s="403"/>
      <c r="F265" s="403"/>
      <c r="G265" s="403"/>
      <c r="H265" s="403"/>
      <c r="I265" s="404"/>
    </row>
    <row r="266" spans="1:11" ht="16.5">
      <c r="A266" s="262" t="s">
        <v>205</v>
      </c>
      <c r="B266" s="384">
        <f>50%*J54</f>
        <v>3500000</v>
      </c>
      <c r="C266" s="385"/>
      <c r="D266" s="385"/>
      <c r="E266" s="385"/>
      <c r="F266" s="385"/>
      <c r="G266" s="385"/>
      <c r="H266" s="385"/>
      <c r="I266" s="386"/>
      <c r="K266" s="46" t="s">
        <v>206</v>
      </c>
    </row>
    <row r="267" spans="1:9" ht="16.5">
      <c r="A267" s="262" t="s">
        <v>207</v>
      </c>
      <c r="B267" s="384">
        <f>115%*J62</f>
        <v>34776000</v>
      </c>
      <c r="C267" s="385"/>
      <c r="D267" s="385"/>
      <c r="E267" s="385"/>
      <c r="F267" s="385"/>
      <c r="G267" s="385"/>
      <c r="H267" s="385"/>
      <c r="I267" s="386"/>
    </row>
    <row r="268" spans="1:11" ht="16.5">
      <c r="A268" s="262" t="s">
        <v>208</v>
      </c>
      <c r="B268" s="384">
        <f>150%*J65</f>
        <v>30000000</v>
      </c>
      <c r="C268" s="385"/>
      <c r="D268" s="385"/>
      <c r="E268" s="385"/>
      <c r="F268" s="385"/>
      <c r="G268" s="385"/>
      <c r="H268" s="385"/>
      <c r="I268" s="386"/>
      <c r="K268" s="313"/>
    </row>
    <row r="269" spans="1:11" ht="34.5" thickBot="1">
      <c r="A269" s="373" t="s">
        <v>0</v>
      </c>
      <c r="B269" s="391">
        <f>SUM(B266:I268)</f>
        <v>68276000</v>
      </c>
      <c r="C269" s="392"/>
      <c r="D269" s="392"/>
      <c r="E269" s="392"/>
      <c r="F269" s="392"/>
      <c r="G269" s="392"/>
      <c r="H269" s="392"/>
      <c r="I269" s="393"/>
      <c r="K269" s="100" t="s">
        <v>209</v>
      </c>
    </row>
    <row r="270" spans="1:11" ht="15.75">
      <c r="A270" s="363"/>
      <c r="B270" s="364"/>
      <c r="C270" s="364"/>
      <c r="D270" s="364"/>
      <c r="E270" s="364"/>
      <c r="F270" s="364"/>
      <c r="G270" s="364"/>
      <c r="H270" s="364"/>
      <c r="I270" s="364"/>
      <c r="K270" s="100"/>
    </row>
    <row r="271" ht="16.5" thickBot="1"/>
    <row r="272" spans="1:11" ht="24.75" thickBot="1">
      <c r="A272" s="425" t="s">
        <v>237</v>
      </c>
      <c r="B272" s="426"/>
      <c r="C272" s="426"/>
      <c r="D272" s="426"/>
      <c r="E272" s="426"/>
      <c r="F272" s="426"/>
      <c r="G272" s="426"/>
      <c r="H272" s="426"/>
      <c r="I272" s="427"/>
      <c r="J272" s="48"/>
      <c r="K272" s="49"/>
    </row>
    <row r="273" spans="1:11" ht="16.5" thickBot="1">
      <c r="A273" s="326"/>
      <c r="B273" s="324">
        <v>2021</v>
      </c>
      <c r="C273" s="324">
        <v>2022</v>
      </c>
      <c r="D273" s="324">
        <v>2023</v>
      </c>
      <c r="E273" s="324">
        <v>2024</v>
      </c>
      <c r="F273" s="324">
        <v>2025</v>
      </c>
      <c r="G273" s="324">
        <v>2026</v>
      </c>
      <c r="H273" s="324">
        <v>2027</v>
      </c>
      <c r="I273" s="325" t="s">
        <v>0</v>
      </c>
      <c r="J273" s="48"/>
      <c r="K273" s="49"/>
    </row>
    <row r="274" spans="1:11" ht="15.75">
      <c r="A274" s="327" t="s">
        <v>8</v>
      </c>
      <c r="B274" s="338">
        <f>B275+B277+B278+B279</f>
        <v>569660</v>
      </c>
      <c r="C274" s="338">
        <f aca="true" t="shared" si="57" ref="C274:H274">C275+C277+C278+C279</f>
        <v>569660</v>
      </c>
      <c r="D274" s="338">
        <f t="shared" si="57"/>
        <v>619900</v>
      </c>
      <c r="E274" s="338">
        <f t="shared" si="57"/>
        <v>450900</v>
      </c>
      <c r="F274" s="338">
        <f t="shared" si="57"/>
        <v>493732</v>
      </c>
      <c r="G274" s="338">
        <f t="shared" si="57"/>
        <v>493732</v>
      </c>
      <c r="H274" s="338">
        <f t="shared" si="57"/>
        <v>525095.2</v>
      </c>
      <c r="I274" s="330">
        <f>I275+I277+I278+I279</f>
        <v>3722679.2</v>
      </c>
      <c r="J274" s="48"/>
      <c r="K274" s="89"/>
    </row>
    <row r="275" spans="1:11" ht="102">
      <c r="A275" s="262" t="s">
        <v>88</v>
      </c>
      <c r="B275" s="56">
        <f>B276*4</f>
        <v>259200</v>
      </c>
      <c r="C275" s="56">
        <f>C276*4</f>
        <v>259200</v>
      </c>
      <c r="D275" s="56">
        <f>C275*110%</f>
        <v>285120</v>
      </c>
      <c r="E275" s="56">
        <f>C275*110%</f>
        <v>285120</v>
      </c>
      <c r="F275" s="56">
        <f>E275*110%</f>
        <v>313632</v>
      </c>
      <c r="G275" s="56">
        <f>E275*110%</f>
        <v>313632</v>
      </c>
      <c r="H275" s="56">
        <f>G275*110%</f>
        <v>344995.2</v>
      </c>
      <c r="I275" s="120">
        <f>SUM(B275:H275)</f>
        <v>2060899.2</v>
      </c>
      <c r="J275" s="48"/>
      <c r="K275" s="160"/>
    </row>
    <row r="276" spans="1:11" ht="33.75">
      <c r="A276" s="365" t="s">
        <v>86</v>
      </c>
      <c r="B276" s="366">
        <f>3600*12+(50%*43200)</f>
        <v>64800</v>
      </c>
      <c r="C276" s="366">
        <f>3600*12+(50%*43200)</f>
        <v>64800</v>
      </c>
      <c r="D276" s="366">
        <f>C276*110%</f>
        <v>71280</v>
      </c>
      <c r="E276" s="366">
        <f>C276*110%</f>
        <v>71280</v>
      </c>
      <c r="F276" s="366">
        <f>E276*110%</f>
        <v>78408</v>
      </c>
      <c r="G276" s="366">
        <f>E276*110%</f>
        <v>78408</v>
      </c>
      <c r="H276" s="366">
        <f>G276*110%</f>
        <v>86248.8</v>
      </c>
      <c r="I276" s="315"/>
      <c r="J276" s="48"/>
      <c r="K276" s="160"/>
    </row>
    <row r="277" spans="1:11" ht="33.75">
      <c r="A277" s="262" t="s">
        <v>10</v>
      </c>
      <c r="B277" s="56">
        <v>80260</v>
      </c>
      <c r="C277" s="56">
        <v>80260</v>
      </c>
      <c r="D277" s="56">
        <v>88780</v>
      </c>
      <c r="E277" s="56">
        <v>88780</v>
      </c>
      <c r="F277" s="56">
        <v>97300</v>
      </c>
      <c r="G277" s="56">
        <v>97300</v>
      </c>
      <c r="H277" s="56">
        <v>97300</v>
      </c>
      <c r="I277" s="120">
        <f>SUM(B277:H277)</f>
        <v>629980</v>
      </c>
      <c r="J277" s="48"/>
      <c r="K277" s="314"/>
    </row>
    <row r="278" spans="1:11" ht="102">
      <c r="A278" s="328" t="s">
        <v>11</v>
      </c>
      <c r="B278" s="228">
        <v>72200</v>
      </c>
      <c r="C278" s="228">
        <v>72200</v>
      </c>
      <c r="D278" s="228">
        <v>77000</v>
      </c>
      <c r="E278" s="228">
        <v>77000</v>
      </c>
      <c r="F278" s="228">
        <v>82800</v>
      </c>
      <c r="G278" s="228">
        <v>82800</v>
      </c>
      <c r="H278" s="228">
        <v>82800</v>
      </c>
      <c r="I278" s="229">
        <f>SUM(B278:H278)</f>
        <v>546800</v>
      </c>
      <c r="J278" s="48"/>
      <c r="K278" s="160"/>
    </row>
    <row r="279" spans="1:11" ht="171" thickBot="1">
      <c r="A279" s="329" t="s">
        <v>87</v>
      </c>
      <c r="B279" s="129">
        <v>158000</v>
      </c>
      <c r="C279" s="129">
        <v>158000</v>
      </c>
      <c r="D279" s="129">
        <v>169000</v>
      </c>
      <c r="E279" s="129"/>
      <c r="F279" s="129"/>
      <c r="G279" s="129"/>
      <c r="H279" s="129"/>
      <c r="I279" s="214">
        <f>SUM(B279:H279)</f>
        <v>485000</v>
      </c>
      <c r="J279" s="48"/>
      <c r="K279" s="100" t="s">
        <v>246</v>
      </c>
    </row>
    <row r="280" spans="1:11" ht="16.5" thickBot="1">
      <c r="A280" s="230"/>
      <c r="B280" s="164"/>
      <c r="C280" s="164"/>
      <c r="D280" s="164"/>
      <c r="E280" s="164"/>
      <c r="F280" s="191"/>
      <c r="G280" s="164"/>
      <c r="H280" s="164"/>
      <c r="I280" s="231"/>
      <c r="J280" s="48"/>
      <c r="K280" s="49"/>
    </row>
    <row r="281" spans="1:11" ht="15.75">
      <c r="A281" s="327" t="s">
        <v>9</v>
      </c>
      <c r="B281" s="338">
        <f aca="true" t="shared" si="58" ref="B281:I281">SUM(B282:B284)</f>
        <v>115950</v>
      </c>
      <c r="C281" s="338">
        <f t="shared" si="58"/>
        <v>397780</v>
      </c>
      <c r="D281" s="338">
        <f t="shared" si="58"/>
        <v>494720</v>
      </c>
      <c r="E281" s="338">
        <f t="shared" si="58"/>
        <v>578080</v>
      </c>
      <c r="F281" s="338">
        <f t="shared" si="58"/>
        <v>625780</v>
      </c>
      <c r="G281" s="338">
        <f t="shared" si="58"/>
        <v>706680</v>
      </c>
      <c r="H281" s="338">
        <f t="shared" si="58"/>
        <v>775010</v>
      </c>
      <c r="I281" s="330">
        <f t="shared" si="58"/>
        <v>3694000</v>
      </c>
      <c r="J281" s="48"/>
      <c r="K281" s="49"/>
    </row>
    <row r="282" spans="1:11" ht="15.75">
      <c r="A282" s="331" t="s">
        <v>1</v>
      </c>
      <c r="B282" s="56">
        <f aca="true" t="shared" si="59" ref="B282:I282">B291</f>
        <v>75000</v>
      </c>
      <c r="C282" s="56">
        <f t="shared" si="59"/>
        <v>321250</v>
      </c>
      <c r="D282" s="56">
        <f t="shared" si="59"/>
        <v>365000</v>
      </c>
      <c r="E282" s="56">
        <f t="shared" si="59"/>
        <v>411250</v>
      </c>
      <c r="F282" s="56">
        <f t="shared" si="59"/>
        <v>422500</v>
      </c>
      <c r="G282" s="56">
        <f t="shared" si="59"/>
        <v>468750</v>
      </c>
      <c r="H282" s="56">
        <f t="shared" si="59"/>
        <v>500000</v>
      </c>
      <c r="I282" s="120">
        <f t="shared" si="59"/>
        <v>2563750</v>
      </c>
      <c r="J282" s="48"/>
      <c r="K282" s="49"/>
    </row>
    <row r="283" spans="1:11" ht="33.75">
      <c r="A283" s="331" t="s">
        <v>59</v>
      </c>
      <c r="B283" s="56">
        <f>B50</f>
        <v>3750</v>
      </c>
      <c r="C283" s="56">
        <f>C50</f>
        <v>41100</v>
      </c>
      <c r="D283" s="56">
        <f>D50</f>
        <v>91650</v>
      </c>
      <c r="E283" s="56">
        <f>E50</f>
        <v>127200</v>
      </c>
      <c r="F283" s="56">
        <f>F50</f>
        <v>162750</v>
      </c>
      <c r="G283" s="56">
        <f>H50</f>
        <v>198300</v>
      </c>
      <c r="H283" s="56">
        <f>I50</f>
        <v>233850</v>
      </c>
      <c r="I283" s="120">
        <f>SUM(B283:H283)</f>
        <v>858600</v>
      </c>
      <c r="J283" s="48"/>
      <c r="K283" s="100" t="s">
        <v>89</v>
      </c>
    </row>
    <row r="284" spans="1:11" ht="34.5" thickBot="1">
      <c r="A284" s="332" t="s">
        <v>2</v>
      </c>
      <c r="B284" s="129">
        <f aca="true" t="shared" si="60" ref="B284:H284">15%*B164</f>
        <v>37200</v>
      </c>
      <c r="C284" s="129">
        <f t="shared" si="60"/>
        <v>35430</v>
      </c>
      <c r="D284" s="129">
        <f t="shared" si="60"/>
        <v>38070</v>
      </c>
      <c r="E284" s="129">
        <f t="shared" si="60"/>
        <v>39630</v>
      </c>
      <c r="F284" s="129">
        <f t="shared" si="60"/>
        <v>40530</v>
      </c>
      <c r="G284" s="129">
        <f t="shared" si="60"/>
        <v>39630</v>
      </c>
      <c r="H284" s="129">
        <f t="shared" si="60"/>
        <v>41160</v>
      </c>
      <c r="I284" s="214">
        <f>SUM(B284:H284)</f>
        <v>271650</v>
      </c>
      <c r="J284" s="48"/>
      <c r="K284" s="100" t="s">
        <v>210</v>
      </c>
    </row>
    <row r="285" spans="1:11" ht="16.5" thickBot="1">
      <c r="A285" s="230"/>
      <c r="B285" s="164"/>
      <c r="C285" s="164"/>
      <c r="D285" s="164"/>
      <c r="E285" s="164"/>
      <c r="F285" s="191"/>
      <c r="G285" s="164"/>
      <c r="H285" s="164"/>
      <c r="I285" s="231"/>
      <c r="J285" s="48"/>
      <c r="K285" s="49"/>
    </row>
    <row r="286" spans="1:11" ht="16.5" thickBot="1">
      <c r="A286" s="333" t="s">
        <v>12</v>
      </c>
      <c r="B286" s="339">
        <f>B281-B274</f>
        <v>-453710</v>
      </c>
      <c r="C286" s="339">
        <f aca="true" t="shared" si="61" ref="C286:H286">C281-C274</f>
        <v>-171880</v>
      </c>
      <c r="D286" s="339">
        <f t="shared" si="61"/>
        <v>-125180</v>
      </c>
      <c r="E286" s="339">
        <f t="shared" si="61"/>
        <v>127180</v>
      </c>
      <c r="F286" s="339">
        <f t="shared" si="61"/>
        <v>132048</v>
      </c>
      <c r="G286" s="339">
        <f t="shared" si="61"/>
        <v>212948</v>
      </c>
      <c r="H286" s="339">
        <f t="shared" si="61"/>
        <v>249914.80000000005</v>
      </c>
      <c r="I286" s="334">
        <f>I281-I274</f>
        <v>-28679.200000000186</v>
      </c>
      <c r="J286" s="48"/>
      <c r="K286" s="49"/>
    </row>
    <row r="287" ht="16.5" thickBot="1"/>
    <row r="288" spans="1:11" ht="24">
      <c r="A288" s="438" t="s">
        <v>238</v>
      </c>
      <c r="B288" s="439"/>
      <c r="C288" s="439"/>
      <c r="D288" s="439"/>
      <c r="E288" s="439"/>
      <c r="F288" s="439"/>
      <c r="G288" s="439"/>
      <c r="H288" s="439"/>
      <c r="I288" s="440"/>
      <c r="K288" s="89"/>
    </row>
    <row r="289" spans="1:11" ht="15.75">
      <c r="A289" s="335"/>
      <c r="B289" s="274">
        <v>2021</v>
      </c>
      <c r="C289" s="274">
        <v>2022</v>
      </c>
      <c r="D289" s="274">
        <v>2023</v>
      </c>
      <c r="E289" s="274">
        <v>2024</v>
      </c>
      <c r="F289" s="274">
        <v>2025</v>
      </c>
      <c r="G289" s="274">
        <v>2026</v>
      </c>
      <c r="H289" s="274">
        <v>2027</v>
      </c>
      <c r="I289" s="277" t="s">
        <v>0</v>
      </c>
      <c r="K289" s="89"/>
    </row>
    <row r="290" spans="1:11" ht="51">
      <c r="A290" s="262" t="s">
        <v>26</v>
      </c>
      <c r="B290" s="56">
        <f aca="true" t="shared" si="62" ref="B290:H290">B20+B36+B45</f>
        <v>1500000</v>
      </c>
      <c r="C290" s="56">
        <f t="shared" si="62"/>
        <v>6425000</v>
      </c>
      <c r="D290" s="56">
        <f t="shared" si="62"/>
        <v>7300000</v>
      </c>
      <c r="E290" s="56">
        <f t="shared" si="62"/>
        <v>8225000</v>
      </c>
      <c r="F290" s="56">
        <f t="shared" si="62"/>
        <v>8450000</v>
      </c>
      <c r="G290" s="56">
        <f t="shared" si="62"/>
        <v>9375000</v>
      </c>
      <c r="H290" s="56">
        <f t="shared" si="62"/>
        <v>10000000</v>
      </c>
      <c r="I290" s="88">
        <f>SUM(B290:H290)</f>
        <v>51275000</v>
      </c>
      <c r="K290" s="311"/>
    </row>
    <row r="291" spans="1:11" ht="69" thickBot="1">
      <c r="A291" s="329" t="s">
        <v>243</v>
      </c>
      <c r="B291" s="129">
        <f aca="true" t="shared" si="63" ref="B291:H291">B22+B38+B46</f>
        <v>75000</v>
      </c>
      <c r="C291" s="129">
        <f t="shared" si="63"/>
        <v>321250</v>
      </c>
      <c r="D291" s="129">
        <f t="shared" si="63"/>
        <v>365000</v>
      </c>
      <c r="E291" s="129">
        <f t="shared" si="63"/>
        <v>411250</v>
      </c>
      <c r="F291" s="129">
        <f t="shared" si="63"/>
        <v>422500</v>
      </c>
      <c r="G291" s="129">
        <f t="shared" si="63"/>
        <v>468750</v>
      </c>
      <c r="H291" s="129">
        <f t="shared" si="63"/>
        <v>500000</v>
      </c>
      <c r="I291" s="130">
        <f>SUM(B291:H291)</f>
        <v>2563750</v>
      </c>
      <c r="K291" s="161"/>
    </row>
    <row r="292" spans="1:12" ht="15.75">
      <c r="A292" s="137"/>
      <c r="B292" s="137"/>
      <c r="C292" s="137"/>
      <c r="D292" s="137"/>
      <c r="E292" s="137"/>
      <c r="F292" s="137"/>
      <c r="G292" s="137"/>
      <c r="H292" s="137"/>
      <c r="I292" s="137"/>
      <c r="J292" s="48"/>
      <c r="K292" s="49"/>
      <c r="L292" s="1"/>
    </row>
    <row r="308" ht="15.75">
      <c r="A308" s="49" t="s">
        <v>244</v>
      </c>
    </row>
    <row r="309" ht="15.75">
      <c r="A309" s="49"/>
    </row>
    <row r="310" ht="15.75">
      <c r="A310" s="51" t="s">
        <v>245</v>
      </c>
    </row>
  </sheetData>
  <sheetProtection/>
  <mergeCells count="112">
    <mergeCell ref="B214:E214"/>
    <mergeCell ref="B215:E215"/>
    <mergeCell ref="B202:E202"/>
    <mergeCell ref="B206:E206"/>
    <mergeCell ref="B207:E207"/>
    <mergeCell ref="G206:H206"/>
    <mergeCell ref="B187:E187"/>
    <mergeCell ref="B191:E191"/>
    <mergeCell ref="B192:E192"/>
    <mergeCell ref="B193:E193"/>
    <mergeCell ref="B194:E194"/>
    <mergeCell ref="B197:E197"/>
    <mergeCell ref="B189:F189"/>
    <mergeCell ref="A195:H195"/>
    <mergeCell ref="A188:H188"/>
    <mergeCell ref="G189:H189"/>
    <mergeCell ref="B173:E173"/>
    <mergeCell ref="B174:E174"/>
    <mergeCell ref="B175:E175"/>
    <mergeCell ref="B176:E176"/>
    <mergeCell ref="B177:E177"/>
    <mergeCell ref="B178:E178"/>
    <mergeCell ref="B246:F246"/>
    <mergeCell ref="G246:H246"/>
    <mergeCell ref="B205:F205"/>
    <mergeCell ref="G205:H205"/>
    <mergeCell ref="B181:E181"/>
    <mergeCell ref="B182:E182"/>
    <mergeCell ref="B183:E183"/>
    <mergeCell ref="B184:E184"/>
    <mergeCell ref="B185:E185"/>
    <mergeCell ref="B208:E208"/>
    <mergeCell ref="B186:E186"/>
    <mergeCell ref="B212:F212"/>
    <mergeCell ref="G212:H212"/>
    <mergeCell ref="B236:F236"/>
    <mergeCell ref="G236:H236"/>
    <mergeCell ref="B241:F241"/>
    <mergeCell ref="G241:H241"/>
    <mergeCell ref="B216:E216"/>
    <mergeCell ref="B217:E217"/>
    <mergeCell ref="B218:E218"/>
    <mergeCell ref="B199:E199"/>
    <mergeCell ref="B200:E200"/>
    <mergeCell ref="B201:E201"/>
    <mergeCell ref="H221:I221"/>
    <mergeCell ref="B209:E209"/>
    <mergeCell ref="B210:E210"/>
    <mergeCell ref="D221:E221"/>
    <mergeCell ref="B204:F204"/>
    <mergeCell ref="G204:H204"/>
    <mergeCell ref="B213:E213"/>
    <mergeCell ref="G171:H171"/>
    <mergeCell ref="B172:F172"/>
    <mergeCell ref="G172:H172"/>
    <mergeCell ref="G180:H180"/>
    <mergeCell ref="B190:F190"/>
    <mergeCell ref="B221:C221"/>
    <mergeCell ref="G190:H190"/>
    <mergeCell ref="B196:F196"/>
    <mergeCell ref="G196:H196"/>
    <mergeCell ref="B198:E198"/>
    <mergeCell ref="K7:K8"/>
    <mergeCell ref="A288:I288"/>
    <mergeCell ref="A257:I257"/>
    <mergeCell ref="A70:I70"/>
    <mergeCell ref="A167:H167"/>
    <mergeCell ref="B180:F180"/>
    <mergeCell ref="B170:F170"/>
    <mergeCell ref="G170:H170"/>
    <mergeCell ref="G169:H169"/>
    <mergeCell ref="A168:H168"/>
    <mergeCell ref="A250:J250"/>
    <mergeCell ref="A272:I272"/>
    <mergeCell ref="A48:J48"/>
    <mergeCell ref="A5:I5"/>
    <mergeCell ref="A25:I25"/>
    <mergeCell ref="A40:I40"/>
    <mergeCell ref="A71:I71"/>
    <mergeCell ref="A81:I81"/>
    <mergeCell ref="B169:F169"/>
    <mergeCell ref="B237:E237"/>
    <mergeCell ref="B238:E238"/>
    <mergeCell ref="B239:E239"/>
    <mergeCell ref="A204:A205"/>
    <mergeCell ref="B220:E220"/>
    <mergeCell ref="F220:I220"/>
    <mergeCell ref="F221:G221"/>
    <mergeCell ref="A219:I219"/>
    <mergeCell ref="A233:H233"/>
    <mergeCell ref="B234:F234"/>
    <mergeCell ref="G234:H234"/>
    <mergeCell ref="B268:I268"/>
    <mergeCell ref="B269:I269"/>
    <mergeCell ref="B235:F235"/>
    <mergeCell ref="B240:F240"/>
    <mergeCell ref="B245:F245"/>
    <mergeCell ref="A1:I2"/>
    <mergeCell ref="A264:I264"/>
    <mergeCell ref="B265:I265"/>
    <mergeCell ref="B242:E242"/>
    <mergeCell ref="B243:E243"/>
    <mergeCell ref="A4:I4"/>
    <mergeCell ref="A179:H179"/>
    <mergeCell ref="A203:H203"/>
    <mergeCell ref="A211:H211"/>
    <mergeCell ref="B266:I266"/>
    <mergeCell ref="B267:I267"/>
    <mergeCell ref="B244:E244"/>
    <mergeCell ref="B247:E247"/>
    <mergeCell ref="B248:E248"/>
    <mergeCell ref="B249:E249"/>
  </mergeCells>
  <printOptions/>
  <pageMargins left="0.787401575" right="0.787401575" top="0.984251969" bottom="0.984251969" header="0.4921259845" footer="0.4921259845"/>
  <pageSetup horizontalDpi="1200" verticalDpi="1200" orientation="portrait" paperSize="9"/>
  <ignoredErrors>
    <ignoredError sqref="B13: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V9"/>
  <sheetViews>
    <sheetView zoomScalePageLayoutView="0" workbookViewId="0" topLeftCell="A1">
      <selection activeCell="F11" sqref="F11"/>
    </sheetView>
  </sheetViews>
  <sheetFormatPr defaultColWidth="11.421875" defaultRowHeight="12.75"/>
  <cols>
    <col min="2" max="2" width="10.421875" style="0" bestFit="1" customWidth="1"/>
  </cols>
  <sheetData>
    <row r="1" ht="13.5" thickBot="1"/>
    <row r="2" spans="1:48" ht="28.5" thickBot="1">
      <c r="A2" s="35"/>
      <c r="B2" s="37" t="s">
        <v>39</v>
      </c>
      <c r="C2" s="37" t="s">
        <v>5</v>
      </c>
      <c r="D2" s="24" t="s">
        <v>141</v>
      </c>
      <c r="E2" s="24" t="s">
        <v>138</v>
      </c>
      <c r="F2" s="24" t="s">
        <v>139</v>
      </c>
      <c r="G2" s="24" t="s">
        <v>142</v>
      </c>
      <c r="H2" s="24" t="s">
        <v>144</v>
      </c>
      <c r="I2" s="24" t="s">
        <v>146</v>
      </c>
      <c r="J2" s="39"/>
      <c r="K2" s="23" t="s">
        <v>6</v>
      </c>
      <c r="L2" s="24" t="s">
        <v>141</v>
      </c>
      <c r="M2" s="24" t="s">
        <v>139</v>
      </c>
      <c r="N2" s="24" t="s">
        <v>142</v>
      </c>
      <c r="O2" s="24" t="s">
        <v>137</v>
      </c>
      <c r="P2" s="24" t="s">
        <v>140</v>
      </c>
      <c r="Q2" s="24" t="s">
        <v>145</v>
      </c>
      <c r="R2" s="24" t="s">
        <v>146</v>
      </c>
      <c r="S2" s="40"/>
      <c r="T2" s="23" t="s">
        <v>40</v>
      </c>
      <c r="U2" s="23" t="s">
        <v>5</v>
      </c>
      <c r="V2" s="24" t="s">
        <v>139</v>
      </c>
      <c r="W2" s="24" t="s">
        <v>143</v>
      </c>
      <c r="X2" s="24" t="s">
        <v>145</v>
      </c>
      <c r="Y2" s="24" t="s">
        <v>146</v>
      </c>
      <c r="Z2" s="39"/>
      <c r="AA2" s="23" t="s">
        <v>6</v>
      </c>
      <c r="AB2" s="24" t="s">
        <v>137</v>
      </c>
      <c r="AC2" s="24" t="s">
        <v>140</v>
      </c>
      <c r="AD2" s="24" t="s">
        <v>139</v>
      </c>
      <c r="AE2" s="41" t="s">
        <v>143</v>
      </c>
      <c r="AF2" s="41" t="s">
        <v>145</v>
      </c>
      <c r="AG2" s="41" t="s">
        <v>146</v>
      </c>
      <c r="AH2" s="40"/>
      <c r="AI2" s="23" t="s">
        <v>77</v>
      </c>
      <c r="AJ2" s="23" t="s">
        <v>5</v>
      </c>
      <c r="AK2" s="24" t="s">
        <v>139</v>
      </c>
      <c r="AL2" s="24" t="s">
        <v>143</v>
      </c>
      <c r="AM2" s="24" t="s">
        <v>145</v>
      </c>
      <c r="AN2" s="24" t="s">
        <v>146</v>
      </c>
      <c r="AO2" s="42"/>
      <c r="AP2" s="23" t="s">
        <v>6</v>
      </c>
      <c r="AQ2" s="41" t="s">
        <v>137</v>
      </c>
      <c r="AR2" s="41" t="s">
        <v>140</v>
      </c>
      <c r="AS2" s="41" t="s">
        <v>139</v>
      </c>
      <c r="AT2" s="41" t="s">
        <v>143</v>
      </c>
      <c r="AU2" s="41" t="s">
        <v>145</v>
      </c>
      <c r="AV2" s="43" t="s">
        <v>146</v>
      </c>
    </row>
    <row r="3" spans="1:48" ht="13.5" thickBot="1">
      <c r="A3" s="493" t="s">
        <v>135</v>
      </c>
      <c r="B3" s="27"/>
      <c r="C3" s="27"/>
      <c r="D3" s="27"/>
      <c r="E3" s="27"/>
      <c r="F3" s="27"/>
      <c r="G3" s="27"/>
      <c r="H3" s="27"/>
      <c r="I3" s="27"/>
      <c r="J3" s="33"/>
      <c r="K3" s="27"/>
      <c r="L3" s="27"/>
      <c r="M3" s="27"/>
      <c r="N3" s="27"/>
      <c r="O3" s="27"/>
      <c r="P3" s="27"/>
      <c r="Q3" s="27"/>
      <c r="R3" s="27"/>
      <c r="S3" s="33"/>
      <c r="T3" s="27"/>
      <c r="U3" s="27"/>
      <c r="V3" s="27"/>
      <c r="W3" s="27"/>
      <c r="X3" s="27"/>
      <c r="Y3" s="27"/>
      <c r="Z3" s="33"/>
      <c r="AA3" s="27"/>
      <c r="AB3" s="27"/>
      <c r="AC3" s="27"/>
      <c r="AD3" s="27"/>
      <c r="AE3" s="22"/>
      <c r="AF3" s="22"/>
      <c r="AG3" s="22"/>
      <c r="AH3" s="34"/>
      <c r="AI3" s="22"/>
      <c r="AJ3" s="22"/>
      <c r="AK3" s="22"/>
      <c r="AL3" s="22"/>
      <c r="AM3" s="22"/>
      <c r="AN3" s="22"/>
      <c r="AO3" s="34"/>
      <c r="AP3" s="22"/>
      <c r="AQ3" s="22"/>
      <c r="AR3" s="22"/>
      <c r="AS3" s="22"/>
      <c r="AT3" s="22"/>
      <c r="AU3" s="22"/>
      <c r="AV3" s="25"/>
    </row>
    <row r="4" spans="1:48" ht="13.5" thickBot="1">
      <c r="A4" s="494"/>
      <c r="B4" s="27"/>
      <c r="C4" s="27"/>
      <c r="D4" s="27"/>
      <c r="E4" s="27"/>
      <c r="F4" s="27"/>
      <c r="G4" s="27"/>
      <c r="H4" s="27"/>
      <c r="I4" s="27"/>
      <c r="J4" s="33"/>
      <c r="K4" s="27"/>
      <c r="L4" s="27"/>
      <c r="M4" s="27"/>
      <c r="N4" s="27"/>
      <c r="O4" s="27"/>
      <c r="P4" s="27"/>
      <c r="Q4" s="27"/>
      <c r="R4" s="27"/>
      <c r="S4" s="33"/>
      <c r="T4" s="27"/>
      <c r="U4" s="27"/>
      <c r="V4" s="27"/>
      <c r="W4" s="27"/>
      <c r="X4" s="27"/>
      <c r="Y4" s="27"/>
      <c r="Z4" s="33"/>
      <c r="AA4" s="27"/>
      <c r="AB4" s="27"/>
      <c r="AC4" s="27"/>
      <c r="AD4" s="27"/>
      <c r="AE4" s="22"/>
      <c r="AF4" s="22"/>
      <c r="AG4" s="22"/>
      <c r="AH4" s="34"/>
      <c r="AI4" s="22"/>
      <c r="AJ4" s="22"/>
      <c r="AK4" s="22"/>
      <c r="AL4" s="22"/>
      <c r="AM4" s="22"/>
      <c r="AN4" s="22"/>
      <c r="AO4" s="34"/>
      <c r="AP4" s="22"/>
      <c r="AQ4" s="22"/>
      <c r="AR4" s="22"/>
      <c r="AS4" s="22"/>
      <c r="AT4" s="22"/>
      <c r="AU4" s="22"/>
      <c r="AV4" s="25"/>
    </row>
    <row r="5" spans="1:48" ht="13.5" thickBot="1">
      <c r="A5" s="494"/>
      <c r="B5" s="22"/>
      <c r="C5" s="22"/>
      <c r="D5" s="22"/>
      <c r="E5" s="22"/>
      <c r="F5" s="22"/>
      <c r="G5" s="22"/>
      <c r="H5" s="22"/>
      <c r="I5" s="22"/>
      <c r="J5" s="34"/>
      <c r="K5" s="22"/>
      <c r="L5" s="22"/>
      <c r="M5" s="22"/>
      <c r="N5" s="22"/>
      <c r="O5" s="22"/>
      <c r="P5" s="22"/>
      <c r="Q5" s="22"/>
      <c r="R5" s="22"/>
      <c r="S5" s="34"/>
      <c r="T5" s="22"/>
      <c r="U5" s="22"/>
      <c r="V5" s="22"/>
      <c r="W5" s="22"/>
      <c r="X5" s="22"/>
      <c r="Y5" s="22"/>
      <c r="Z5" s="34"/>
      <c r="AA5" s="22"/>
      <c r="AB5" s="22"/>
      <c r="AC5" s="22"/>
      <c r="AD5" s="22"/>
      <c r="AE5" s="22"/>
      <c r="AF5" s="22"/>
      <c r="AG5" s="22"/>
      <c r="AH5" s="34"/>
      <c r="AI5" s="22"/>
      <c r="AJ5" s="22"/>
      <c r="AK5" s="22"/>
      <c r="AL5" s="22"/>
      <c r="AM5" s="22"/>
      <c r="AN5" s="22"/>
      <c r="AO5" s="34"/>
      <c r="AP5" s="22"/>
      <c r="AQ5" s="22"/>
      <c r="AR5" s="22"/>
      <c r="AS5" s="22"/>
      <c r="AT5" s="22"/>
      <c r="AU5" s="22"/>
      <c r="AV5" s="25"/>
    </row>
    <row r="6" spans="1:48" ht="13.5" thickBot="1">
      <c r="A6" s="494"/>
      <c r="B6" s="22"/>
      <c r="C6" s="22"/>
      <c r="D6" s="22"/>
      <c r="E6" s="22"/>
      <c r="F6" s="22"/>
      <c r="G6" s="22"/>
      <c r="H6" s="22"/>
      <c r="I6" s="22"/>
      <c r="J6" s="34"/>
      <c r="K6" s="22"/>
      <c r="L6" s="22"/>
      <c r="M6" s="22"/>
      <c r="N6" s="22"/>
      <c r="O6" s="22"/>
      <c r="P6" s="22"/>
      <c r="Q6" s="22"/>
      <c r="R6" s="22"/>
      <c r="S6" s="34"/>
      <c r="T6" s="22"/>
      <c r="U6" s="22"/>
      <c r="V6" s="22"/>
      <c r="W6" s="22"/>
      <c r="X6" s="22"/>
      <c r="Y6" s="22"/>
      <c r="Z6" s="34"/>
      <c r="AA6" s="22"/>
      <c r="AB6" s="22"/>
      <c r="AC6" s="22"/>
      <c r="AD6" s="22"/>
      <c r="AE6" s="22"/>
      <c r="AF6" s="22"/>
      <c r="AG6" s="22"/>
      <c r="AH6" s="34"/>
      <c r="AI6" s="22"/>
      <c r="AJ6" s="22"/>
      <c r="AK6" s="22"/>
      <c r="AL6" s="22"/>
      <c r="AM6" s="22"/>
      <c r="AN6" s="22"/>
      <c r="AO6" s="34"/>
      <c r="AP6" s="22"/>
      <c r="AQ6" s="22"/>
      <c r="AR6" s="22"/>
      <c r="AS6" s="22"/>
      <c r="AT6" s="22"/>
      <c r="AU6" s="22"/>
      <c r="AV6" s="25"/>
    </row>
    <row r="7" spans="1:48" ht="13.5" thickBot="1">
      <c r="A7" s="495"/>
      <c r="B7" s="22"/>
      <c r="C7" s="22"/>
      <c r="D7" s="22"/>
      <c r="E7" s="22"/>
      <c r="F7" s="22"/>
      <c r="G7" s="22"/>
      <c r="H7" s="22"/>
      <c r="I7" s="22"/>
      <c r="J7" s="34"/>
      <c r="K7" s="22"/>
      <c r="L7" s="22"/>
      <c r="M7" s="22"/>
      <c r="N7" s="22"/>
      <c r="O7" s="22"/>
      <c r="P7" s="22"/>
      <c r="Q7" s="22"/>
      <c r="R7" s="22"/>
      <c r="S7" s="34"/>
      <c r="T7" s="22"/>
      <c r="U7" s="22"/>
      <c r="V7" s="22"/>
      <c r="W7" s="22"/>
      <c r="X7" s="22"/>
      <c r="Y7" s="22"/>
      <c r="Z7" s="34"/>
      <c r="AA7" s="22"/>
      <c r="AB7" s="22"/>
      <c r="AC7" s="22"/>
      <c r="AD7" s="22"/>
      <c r="AE7" s="22"/>
      <c r="AF7" s="22"/>
      <c r="AG7" s="22"/>
      <c r="AH7" s="34"/>
      <c r="AI7" s="22"/>
      <c r="AJ7" s="22"/>
      <c r="AK7" s="22"/>
      <c r="AL7" s="22"/>
      <c r="AM7" s="22"/>
      <c r="AN7" s="22"/>
      <c r="AO7" s="34"/>
      <c r="AP7" s="22"/>
      <c r="AQ7" s="22"/>
      <c r="AR7" s="22"/>
      <c r="AS7" s="22"/>
      <c r="AT7" s="22"/>
      <c r="AU7" s="22"/>
      <c r="AV7" s="25"/>
    </row>
    <row r="8" spans="1:48" ht="13.5" thickBot="1">
      <c r="A8" s="493" t="s">
        <v>136</v>
      </c>
      <c r="B8" s="22"/>
      <c r="C8" s="22"/>
      <c r="D8" s="22"/>
      <c r="E8" s="22"/>
      <c r="F8" s="22"/>
      <c r="G8" s="22"/>
      <c r="H8" s="22"/>
      <c r="I8" s="22"/>
      <c r="J8" s="34"/>
      <c r="K8" s="22"/>
      <c r="L8" s="22"/>
      <c r="M8" s="22"/>
      <c r="N8" s="22"/>
      <c r="O8" s="22"/>
      <c r="P8" s="22"/>
      <c r="Q8" s="22"/>
      <c r="R8" s="22"/>
      <c r="S8" s="34"/>
      <c r="T8" s="22"/>
      <c r="U8" s="22"/>
      <c r="V8" s="22"/>
      <c r="W8" s="22"/>
      <c r="X8" s="22"/>
      <c r="Y8" s="22"/>
      <c r="Z8" s="34"/>
      <c r="AA8" s="22"/>
      <c r="AB8" s="22"/>
      <c r="AC8" s="22"/>
      <c r="AD8" s="22"/>
      <c r="AE8" s="22"/>
      <c r="AF8" s="22"/>
      <c r="AG8" s="22"/>
      <c r="AH8" s="34"/>
      <c r="AI8" s="22"/>
      <c r="AJ8" s="22"/>
      <c r="AK8" s="22"/>
      <c r="AL8" s="22"/>
      <c r="AM8" s="22"/>
      <c r="AN8" s="22"/>
      <c r="AO8" s="34"/>
      <c r="AP8" s="22"/>
      <c r="AQ8" s="22"/>
      <c r="AR8" s="22"/>
      <c r="AS8" s="22"/>
      <c r="AT8" s="22"/>
      <c r="AU8" s="22"/>
      <c r="AV8" s="25"/>
    </row>
    <row r="9" spans="1:48" ht="13.5" thickBot="1">
      <c r="A9" s="496"/>
      <c r="B9" s="38"/>
      <c r="C9" s="38"/>
      <c r="D9" s="38"/>
      <c r="E9" s="38"/>
      <c r="F9" s="38"/>
      <c r="G9" s="38"/>
      <c r="H9" s="38"/>
      <c r="I9" s="38"/>
      <c r="J9" s="36"/>
      <c r="K9" s="38"/>
      <c r="L9" s="38"/>
      <c r="M9" s="38"/>
      <c r="N9" s="38"/>
      <c r="O9" s="38"/>
      <c r="P9" s="38"/>
      <c r="Q9" s="38"/>
      <c r="R9" s="38"/>
      <c r="S9" s="36"/>
      <c r="T9" s="38"/>
      <c r="U9" s="38"/>
      <c r="V9" s="38"/>
      <c r="W9" s="38"/>
      <c r="X9" s="38"/>
      <c r="Y9" s="38"/>
      <c r="Z9" s="36"/>
      <c r="AA9" s="38"/>
      <c r="AB9" s="38"/>
      <c r="AC9" s="38"/>
      <c r="AD9" s="38"/>
      <c r="AE9" s="38"/>
      <c r="AF9" s="38"/>
      <c r="AG9" s="38"/>
      <c r="AH9" s="36"/>
      <c r="AI9" s="38"/>
      <c r="AJ9" s="38"/>
      <c r="AK9" s="38"/>
      <c r="AL9" s="38"/>
      <c r="AM9" s="38"/>
      <c r="AN9" s="38"/>
      <c r="AO9" s="36"/>
      <c r="AP9" s="38"/>
      <c r="AQ9" s="38"/>
      <c r="AR9" s="38"/>
      <c r="AS9" s="38"/>
      <c r="AT9" s="38"/>
      <c r="AU9" s="38"/>
      <c r="AV9" s="44"/>
    </row>
  </sheetData>
  <sheetProtection/>
  <mergeCells count="2">
    <mergeCell ref="A3:A7"/>
    <mergeCell ref="A8:A9"/>
  </mergeCells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artefrance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dcterms:created xsi:type="dcterms:W3CDTF">2021-03-12T10:34:58Z</dcterms:created>
  <dcterms:modified xsi:type="dcterms:W3CDTF">2021-05-03T15:18:23Z</dcterms:modified>
  <cp:category/>
  <cp:version/>
  <cp:contentType/>
  <cp:contentStatus/>
</cp:coreProperties>
</file>